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ingstonSSD\Desktop\Spjald\BB\"/>
    </mc:Choice>
  </mc:AlternateContent>
  <bookViews>
    <workbookView xWindow="0" yWindow="0" windowWidth="28800" windowHeight="13725"/>
  </bookViews>
  <sheets>
    <sheet name="Holuhraun" sheetId="1" r:id="rId1"/>
    <sheet name="Laki" sheetId="3" r:id="rId2"/>
    <sheet name="Eldgja" sheetId="4" r:id="rId3"/>
    <sheet name="Rift" sheetId="5" r:id="rId4"/>
  </sheets>
  <calcPr calcId="152511" iterate="1"/>
</workbook>
</file>

<file path=xl/calcChain.xml><?xml version="1.0" encoding="utf-8"?>
<calcChain xmlns="http://schemas.openxmlformats.org/spreadsheetml/2006/main">
  <c r="B29" i="1" l="1"/>
  <c r="F47" i="1" l="1"/>
  <c r="D46" i="1"/>
  <c r="C46" i="1"/>
  <c r="C28" i="1"/>
  <c r="C27" i="1" l="1"/>
  <c r="C26" i="1" l="1"/>
  <c r="D38" i="1" l="1"/>
  <c r="C25" i="1" l="1"/>
  <c r="E8" i="5"/>
  <c r="C24" i="1" l="1"/>
  <c r="C23" i="1"/>
  <c r="D10" i="5" l="1"/>
  <c r="E9" i="5"/>
  <c r="E10" i="5" s="1"/>
  <c r="E5" i="5"/>
  <c r="E6" i="5"/>
  <c r="E7" i="5"/>
  <c r="E4" i="5"/>
  <c r="C10" i="5" l="1"/>
  <c r="M32" i="1" s="1"/>
  <c r="Q21" i="1"/>
  <c r="E7" i="4"/>
  <c r="E7" i="3"/>
  <c r="Q20" i="1"/>
  <c r="Q26" i="3" l="1"/>
  <c r="R26" i="3"/>
  <c r="Q26" i="4"/>
  <c r="R26" i="4"/>
  <c r="O21" i="1"/>
  <c r="O20" i="1"/>
  <c r="E8" i="3"/>
  <c r="E9" i="3" s="1"/>
  <c r="E10" i="3" s="1"/>
  <c r="D18" i="3"/>
  <c r="C22" i="3"/>
  <c r="C23" i="3"/>
  <c r="D23" i="3"/>
  <c r="G6" i="4"/>
  <c r="H6" i="4" s="1"/>
  <c r="G7" i="4"/>
  <c r="H7" i="4" s="1"/>
  <c r="C8" i="4"/>
  <c r="E8" i="4"/>
  <c r="C9" i="4"/>
  <c r="C10" i="4"/>
  <c r="C11" i="4"/>
  <c r="C12" i="4"/>
  <c r="C13" i="4"/>
  <c r="C14" i="4"/>
  <c r="C15" i="4"/>
  <c r="C16" i="4"/>
  <c r="C17" i="4"/>
  <c r="C18" i="4"/>
  <c r="D18" i="4"/>
  <c r="C19" i="4"/>
  <c r="C20" i="4"/>
  <c r="C21" i="4"/>
  <c r="C22" i="4"/>
  <c r="C23" i="4"/>
  <c r="D23" i="4"/>
  <c r="C24" i="4"/>
  <c r="D24" i="4"/>
  <c r="Q25" i="4"/>
  <c r="R25" i="4"/>
  <c r="Q25" i="3"/>
  <c r="R25" i="3"/>
  <c r="G6" i="3"/>
  <c r="H6" i="3"/>
  <c r="G7" i="3"/>
  <c r="H7" i="3" s="1"/>
  <c r="C8" i="3"/>
  <c r="C9" i="3"/>
  <c r="C10" i="3"/>
  <c r="C11" i="3"/>
  <c r="C12" i="3"/>
  <c r="C13" i="3"/>
  <c r="C14" i="3"/>
  <c r="C15" i="3"/>
  <c r="C16" i="3"/>
  <c r="C17" i="3"/>
  <c r="C18" i="3"/>
  <c r="C19" i="3"/>
  <c r="C20" i="3"/>
  <c r="C21" i="3"/>
  <c r="C24" i="3"/>
  <c r="D24" i="3" s="1"/>
  <c r="C29" i="1"/>
  <c r="D29" i="1" s="1"/>
  <c r="C22" i="1"/>
  <c r="C45" i="1"/>
  <c r="C21" i="1"/>
  <c r="C20" i="1"/>
  <c r="C19" i="1"/>
  <c r="D18" i="1"/>
  <c r="C18" i="1"/>
  <c r="E38" i="1"/>
  <c r="F38" i="1" s="1"/>
  <c r="C43" i="1"/>
  <c r="D43" i="1"/>
  <c r="D44" i="1"/>
  <c r="C44" i="1"/>
  <c r="C17" i="1"/>
  <c r="C16" i="1"/>
  <c r="D39" i="1"/>
  <c r="D45" i="1" s="1"/>
  <c r="C42" i="1"/>
  <c r="D42" i="1"/>
  <c r="D41" i="1"/>
  <c r="D40" i="1"/>
  <c r="C14" i="1"/>
  <c r="C15" i="1"/>
  <c r="G6" i="1"/>
  <c r="H6" i="1" s="1"/>
  <c r="C41" i="1"/>
  <c r="C40" i="1"/>
  <c r="C39" i="1"/>
  <c r="C38" i="1"/>
  <c r="C13" i="1"/>
  <c r="C10" i="1"/>
  <c r="C8" i="1"/>
  <c r="C9" i="1"/>
  <c r="C12" i="1"/>
  <c r="C11" i="1"/>
  <c r="H38" i="1" l="1"/>
  <c r="H37" i="1" s="1"/>
  <c r="M19" i="1"/>
  <c r="G9" i="3"/>
  <c r="G8" i="3"/>
  <c r="F8" i="3" s="1"/>
  <c r="H8" i="3" s="1"/>
  <c r="E11" i="3"/>
  <c r="G10" i="3"/>
  <c r="F10" i="3" s="1"/>
  <c r="H10" i="3" s="1"/>
  <c r="B47" i="1"/>
  <c r="C47" i="1" s="1"/>
  <c r="E39" i="1"/>
  <c r="C30" i="1"/>
  <c r="D30" i="1" s="1"/>
  <c r="G8" i="4"/>
  <c r="F8" i="4" s="1"/>
  <c r="H8" i="4" s="1"/>
  <c r="E9" i="4"/>
  <c r="F9" i="3" l="1"/>
  <c r="H9" i="3" s="1"/>
  <c r="E12" i="3"/>
  <c r="G11" i="3"/>
  <c r="F11" i="3" s="1"/>
  <c r="H11" i="3" s="1"/>
  <c r="G9" i="4"/>
  <c r="F9" i="4" s="1"/>
  <c r="H9" i="4" s="1"/>
  <c r="E10" i="4"/>
  <c r="E40" i="1"/>
  <c r="F39" i="1"/>
  <c r="H39" i="1" s="1"/>
  <c r="G10" i="4" l="1"/>
  <c r="F10" i="4" s="1"/>
  <c r="H10" i="4" s="1"/>
  <c r="E11" i="4"/>
  <c r="F40" i="1"/>
  <c r="H40" i="1" s="1"/>
  <c r="E41" i="1"/>
  <c r="E13" i="3"/>
  <c r="G12" i="3"/>
  <c r="F12" i="3" s="1"/>
  <c r="H12" i="3" s="1"/>
  <c r="F41" i="1" l="1"/>
  <c r="H41" i="1" s="1"/>
  <c r="E42" i="1"/>
  <c r="G11" i="4"/>
  <c r="F11" i="4" s="1"/>
  <c r="H11" i="4" s="1"/>
  <c r="E12" i="4"/>
  <c r="G13" i="3"/>
  <c r="F13" i="3" s="1"/>
  <c r="H13" i="3" s="1"/>
  <c r="E14" i="3"/>
  <c r="E15" i="3" l="1"/>
  <c r="G14" i="3"/>
  <c r="F14" i="3" s="1"/>
  <c r="H14" i="3" s="1"/>
  <c r="G12" i="4"/>
  <c r="F12" i="4" s="1"/>
  <c r="H12" i="4" s="1"/>
  <c r="E13" i="4"/>
  <c r="F42" i="1"/>
  <c r="H42" i="1" s="1"/>
  <c r="E43" i="1"/>
  <c r="E44" i="1" l="1"/>
  <c r="F43" i="1"/>
  <c r="H43" i="1" s="1"/>
  <c r="G13" i="4"/>
  <c r="F13" i="4" s="1"/>
  <c r="H13" i="4" s="1"/>
  <c r="E14" i="4"/>
  <c r="E16" i="3"/>
  <c r="G15" i="3"/>
  <c r="F15" i="3" s="1"/>
  <c r="H15" i="3" s="1"/>
  <c r="G14" i="4" l="1"/>
  <c r="F14" i="4" s="1"/>
  <c r="H14" i="4" s="1"/>
  <c r="E15" i="4"/>
  <c r="E17" i="3"/>
  <c r="G16" i="3"/>
  <c r="F16" i="3" s="1"/>
  <c r="H16" i="3" s="1"/>
  <c r="F44" i="1"/>
  <c r="H44" i="1" s="1"/>
  <c r="E45" i="1"/>
  <c r="E46" i="1" s="1"/>
  <c r="F46" i="1" s="1"/>
  <c r="H46" i="1" s="1"/>
  <c r="F45" i="1" l="1"/>
  <c r="H45" i="1" s="1"/>
  <c r="E47" i="1"/>
  <c r="N33" i="1" s="1"/>
  <c r="G15" i="4"/>
  <c r="F15" i="4" s="1"/>
  <c r="H15" i="4" s="1"/>
  <c r="E16" i="4"/>
  <c r="E18" i="3"/>
  <c r="G17" i="3"/>
  <c r="F17" i="3" s="1"/>
  <c r="H17" i="3" s="1"/>
  <c r="H47" i="1" l="1"/>
  <c r="G16" i="4"/>
  <c r="F16" i="4" s="1"/>
  <c r="H16" i="4" s="1"/>
  <c r="E17" i="4"/>
  <c r="E19" i="3"/>
  <c r="G18" i="3"/>
  <c r="F18" i="3" s="1"/>
  <c r="H18" i="3" s="1"/>
  <c r="E20" i="3" l="1"/>
  <c r="G19" i="3"/>
  <c r="F19" i="3" s="1"/>
  <c r="H19" i="3" s="1"/>
  <c r="E18" i="4"/>
  <c r="G17" i="4"/>
  <c r="F17" i="4" s="1"/>
  <c r="H17" i="4" s="1"/>
  <c r="G18" i="4" l="1"/>
  <c r="F18" i="4" s="1"/>
  <c r="H18" i="4" s="1"/>
  <c r="E19" i="4"/>
  <c r="E21" i="3"/>
  <c r="G20" i="3"/>
  <c r="F20" i="3" s="1"/>
  <c r="H20" i="3" s="1"/>
  <c r="E22" i="3" l="1"/>
  <c r="G21" i="3"/>
  <c r="F21" i="3" s="1"/>
  <c r="H21" i="3" s="1"/>
  <c r="G19" i="4"/>
  <c r="F19" i="4" s="1"/>
  <c r="H19" i="4" s="1"/>
  <c r="E20" i="4"/>
  <c r="G20" i="4" l="1"/>
  <c r="F20" i="4" s="1"/>
  <c r="H20" i="4" s="1"/>
  <c r="E21" i="4"/>
  <c r="E23" i="3"/>
  <c r="G23" i="3" s="1"/>
  <c r="G22" i="3"/>
  <c r="F22" i="3" s="1"/>
  <c r="H22" i="3" s="1"/>
  <c r="G21" i="4" l="1"/>
  <c r="F21" i="4" s="1"/>
  <c r="H21" i="4" s="1"/>
  <c r="E22" i="4"/>
  <c r="N23" i="3"/>
  <c r="L20" i="1" s="1"/>
  <c r="F23" i="3"/>
  <c r="H23" i="3" s="1"/>
  <c r="H24" i="3" s="1"/>
  <c r="E23" i="4" l="1"/>
  <c r="G23" i="4" s="1"/>
  <c r="G22" i="4"/>
  <c r="F22" i="4" s="1"/>
  <c r="H22" i="4" s="1"/>
  <c r="F23" i="4" l="1"/>
  <c r="H23" i="4" s="1"/>
  <c r="H24" i="4" s="1"/>
  <c r="N23" i="4"/>
  <c r="L21" i="1" s="1"/>
  <c r="H3" i="1"/>
  <c r="H4" i="1"/>
  <c r="E7" i="1"/>
  <c r="G7" i="1"/>
  <c r="H7" i="1"/>
  <c r="E8" i="1"/>
  <c r="F8" i="1"/>
  <c r="G8" i="1"/>
  <c r="H8" i="1"/>
  <c r="E9" i="1"/>
  <c r="F9" i="1"/>
  <c r="G9" i="1"/>
  <c r="H9" i="1"/>
  <c r="E10" i="1"/>
  <c r="F10" i="1"/>
  <c r="G10" i="1"/>
  <c r="H10" i="1"/>
  <c r="E11" i="1"/>
  <c r="F11" i="1"/>
  <c r="G11" i="1"/>
  <c r="H11" i="1"/>
  <c r="E12" i="1"/>
  <c r="F12" i="1"/>
  <c r="G12" i="1"/>
  <c r="H12" i="1"/>
  <c r="E13" i="1"/>
  <c r="F13" i="1"/>
  <c r="G13" i="1"/>
  <c r="H13" i="1"/>
  <c r="E14" i="1"/>
  <c r="F14" i="1"/>
  <c r="G14" i="1"/>
  <c r="H14" i="1"/>
  <c r="E15" i="1"/>
  <c r="F15" i="1"/>
  <c r="G15" i="1"/>
  <c r="H15" i="1"/>
  <c r="E16" i="1"/>
  <c r="F16" i="1"/>
  <c r="G16" i="1"/>
  <c r="H16" i="1"/>
  <c r="E17" i="1"/>
  <c r="F17" i="1"/>
  <c r="G17" i="1"/>
  <c r="H17" i="1"/>
  <c r="E18" i="1"/>
  <c r="F18" i="1"/>
  <c r="G18" i="1"/>
  <c r="H18" i="1"/>
  <c r="E19" i="1"/>
  <c r="F19" i="1"/>
  <c r="G19" i="1"/>
  <c r="H19" i="1"/>
  <c r="L19" i="1"/>
  <c r="N19" i="1"/>
  <c r="O19" i="1"/>
  <c r="P19" i="1"/>
  <c r="Q19" i="1"/>
  <c r="E20" i="1"/>
  <c r="F20" i="1"/>
  <c r="G20" i="1"/>
  <c r="H20" i="1"/>
  <c r="E21" i="1"/>
  <c r="F21" i="1"/>
  <c r="G21" i="1"/>
  <c r="H21" i="1"/>
  <c r="E22" i="1"/>
  <c r="F22" i="1"/>
  <c r="G22" i="1"/>
  <c r="H22" i="1"/>
  <c r="E23" i="1"/>
  <c r="F23" i="1"/>
  <c r="G23" i="1"/>
  <c r="H23" i="1"/>
  <c r="E24" i="1"/>
  <c r="F24" i="1"/>
  <c r="G24" i="1"/>
  <c r="H24" i="1"/>
  <c r="E25" i="1"/>
  <c r="F25" i="1"/>
  <c r="G25" i="1"/>
  <c r="H25" i="1"/>
  <c r="E26" i="1"/>
  <c r="F26" i="1"/>
  <c r="G26" i="1"/>
  <c r="H26" i="1"/>
  <c r="E27" i="1"/>
  <c r="F27" i="1"/>
  <c r="G27" i="1"/>
  <c r="H27" i="1"/>
  <c r="E28" i="1"/>
  <c r="F28" i="1"/>
  <c r="G28" i="1"/>
  <c r="H28" i="1"/>
  <c r="E29" i="1"/>
  <c r="F29" i="1"/>
  <c r="G29" i="1"/>
  <c r="H29" i="1"/>
  <c r="H30" i="1"/>
  <c r="H31" i="1"/>
  <c r="G47" i="1"/>
  <c r="G49" i="1"/>
</calcChain>
</file>

<file path=xl/sharedStrings.xml><?xml version="1.0" encoding="utf-8"?>
<sst xmlns="http://schemas.openxmlformats.org/spreadsheetml/2006/main" count="100" uniqueCount="57">
  <si>
    <t xml:space="preserve"> </t>
  </si>
  <si>
    <t>Subsidence average.</t>
  </si>
  <si>
    <t>Estimated subsidence</t>
  </si>
  <si>
    <t>Flow last few days</t>
  </si>
  <si>
    <t>Total area of lava</t>
  </si>
  <si>
    <t>Delta days</t>
  </si>
  <si>
    <t>Date.</t>
  </si>
  <si>
    <t>The lava</t>
  </si>
  <si>
    <t>The subsidence</t>
  </si>
  <si>
    <t>Subsidence m</t>
  </si>
  <si>
    <t>Rift volume  +   HH-BB</t>
  </si>
  <si>
    <t>Calcul.  thick. of  lava in km</t>
  </si>
  <si>
    <t>Estimated total amount of magma entering BB</t>
  </si>
  <si>
    <t>Model that simulates the  subsidence in BB top. Volume changes are kept linear to  subsidence. Last measurement points is November 23.</t>
  </si>
  <si>
    <t>Delta  km³</t>
  </si>
  <si>
    <t>Lava total km³</t>
  </si>
  <si>
    <t>24 hour flow km³</t>
  </si>
  <si>
    <t>Subsidence total km³</t>
  </si>
  <si>
    <t>Volume reduction.  Km³</t>
  </si>
  <si>
    <t>24 hour flow  km³</t>
  </si>
  <si>
    <t>Laki</t>
  </si>
  <si>
    <t>Eldgjá</t>
  </si>
  <si>
    <t>Area</t>
  </si>
  <si>
    <t>Volume</t>
  </si>
  <si>
    <t>thickness</t>
  </si>
  <si>
    <t>Variabile</t>
  </si>
  <si>
    <t>Average flow</t>
  </si>
  <si>
    <t>Average Flow</t>
  </si>
  <si>
    <t>Holuhraun</t>
  </si>
  <si>
    <t>Max flow</t>
  </si>
  <si>
    <t>Thic. Vari.</t>
  </si>
  <si>
    <t>Lava edge thickness</t>
  </si>
  <si>
    <t>Thickening Variable.</t>
  </si>
  <si>
    <t xml:space="preserve">  Subsidence* Variable</t>
  </si>
  <si>
    <t>before measurements</t>
  </si>
  <si>
    <t>Estimated subsidence in forecast m</t>
  </si>
  <si>
    <t>Model adjusted to fit the time, area and volume from Laki eruption 1783.</t>
  </si>
  <si>
    <t>Variable</t>
  </si>
  <si>
    <t>Model adjusted to fit the time, area and volume from Eldgjá  eruption 934.</t>
  </si>
  <si>
    <t>Edge thickness</t>
  </si>
  <si>
    <t>Gudmundur Jonson  mummij.blog</t>
  </si>
  <si>
    <t>Carl / August 27, 2014 VolcanoCafe</t>
  </si>
  <si>
    <r>
      <t>Volume km</t>
    </r>
    <r>
      <rPr>
        <sz val="11"/>
        <color theme="1"/>
        <rFont val="Calibri"/>
        <family val="2"/>
      </rPr>
      <t>³</t>
    </r>
    <r>
      <rPr>
        <sz val="11"/>
        <color theme="1"/>
        <rFont val="Calibri"/>
        <family val="2"/>
        <scheme val="minor"/>
      </rPr>
      <t xml:space="preserve"> </t>
    </r>
  </si>
  <si>
    <t>Score by Mummi</t>
  </si>
  <si>
    <t>Volum  of dyke = Rift volume</t>
  </si>
  <si>
    <t>Average total</t>
  </si>
  <si>
    <t>Haraldur Sigurdsson Vulcan.blog</t>
  </si>
  <si>
    <t>Professor Agust Gudmundsson</t>
  </si>
  <si>
    <t>NASA / IMO</t>
  </si>
  <si>
    <t>Laki (Sheet Laki)</t>
  </si>
  <si>
    <t>Eldgja (Sheet Eldga)</t>
  </si>
  <si>
    <t>Rift volume total (Sheet Rift)</t>
  </si>
  <si>
    <t>Total days</t>
  </si>
  <si>
    <t>Flow last measurement</t>
  </si>
  <si>
    <t>Methodology: Wisdom of the  crowd.  I took all the information I found to be fairly credible and scientific, regarding the size of the rift  . Then I gave  rating to each one from 1 to 7 and used it to multiplie.</t>
  </si>
  <si>
    <t>Freysteinn Sigmundsson, and team</t>
  </si>
  <si>
    <t>Model that simulates lava flow at Holuhraunu since  29 August 2014. The model assumes that the lava needs to thicken exponentially slower with incising size. Februar 12  2015 is the last measured position. Area   numbers in the table are obtained from the website of the IMO.  The thickness variable and edge thickness is calculated from the Eldgja and Laki thickening variable fond on sheets Laki and Eldgja.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</si>
</sst>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 &quot;kr.&quot;"/>
    <numFmt numFmtId="165" formatCode="0.000"/>
    <numFmt numFmtId="166" formatCode="0.0000"/>
    <numFmt numFmtId="167" formatCode="&quot;&quot;0&quot; m³/sek&quot;"/>
    <numFmt numFmtId="168" formatCode="&quot;&quot;0.0&quot; km³&quot;"/>
    <numFmt numFmtId="169" formatCode="0.000000"/>
    <numFmt numFmtId="170" formatCode="0.0"/>
    <numFmt numFmtId="171" formatCode="&quot;&quot;0.00&quot; km³&quot;"/>
  </numFmts>
  <fonts count="3" x14ac:knownFonts="1">
    <font>
      <sz val="11"/>
      <color theme="1"/>
      <name val="Calibri"/>
      <family val="2"/>
      <scheme val="minor"/>
    </font>
    <font>
      <sz val="8"/>
      <name val="Calibri"/>
      <family val="2"/>
    </font>
    <font>
      <sz val="11"/>
      <color theme="1"/>
      <name val="Calibri"/>
      <family val="2"/>
    </font>
  </fonts>
  <fills count="5">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7"/>
        <bgColor indexed="64"/>
      </patternFill>
    </fill>
  </fills>
  <borders count="15">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s>
  <cellStyleXfs count="1">
    <xf numFmtId="0" fontId="0" fillId="0" borderId="0"/>
  </cellStyleXfs>
  <cellXfs count="71">
    <xf numFmtId="0" fontId="0" fillId="0" borderId="0" xfId="0"/>
    <xf numFmtId="164" fontId="0" fillId="0" borderId="0" xfId="0" applyNumberFormat="1" applyBorder="1" applyAlignment="1">
      <alignment wrapText="1"/>
    </xf>
    <xf numFmtId="164" fontId="0" fillId="0" borderId="1" xfId="0" applyNumberFormat="1" applyBorder="1" applyAlignment="1">
      <alignment horizontal="center" wrapText="1"/>
    </xf>
    <xf numFmtId="164" fontId="0" fillId="0" borderId="2" xfId="0" applyNumberFormat="1" applyBorder="1" applyAlignment="1">
      <alignment horizontal="center" wrapText="1"/>
    </xf>
    <xf numFmtId="0" fontId="0" fillId="0" borderId="0" xfId="0" applyBorder="1" applyAlignment="1">
      <alignment horizontal="center"/>
    </xf>
    <xf numFmtId="165" fontId="0" fillId="0" borderId="0" xfId="0" applyNumberFormat="1" applyBorder="1" applyAlignment="1">
      <alignment horizontal="center"/>
    </xf>
    <xf numFmtId="165" fontId="0" fillId="0" borderId="3" xfId="0" applyNumberFormat="1" applyBorder="1" applyAlignment="1">
      <alignment horizontal="center"/>
    </xf>
    <xf numFmtId="164" fontId="0" fillId="0" borderId="4" xfId="0" applyNumberFormat="1" applyBorder="1" applyAlignment="1">
      <alignment horizontal="center" wrapText="1"/>
    </xf>
    <xf numFmtId="16" fontId="0" fillId="0" borderId="5" xfId="0" applyNumberFormat="1" applyBorder="1" applyAlignment="1">
      <alignment horizontal="center"/>
    </xf>
    <xf numFmtId="0" fontId="0" fillId="0" borderId="0" xfId="0" applyNumberFormat="1" applyBorder="1" applyAlignment="1">
      <alignment horizontal="center"/>
    </xf>
    <xf numFmtId="0" fontId="0" fillId="0" borderId="6" xfId="0" applyNumberFormat="1" applyBorder="1" applyAlignment="1">
      <alignment horizontal="center"/>
    </xf>
    <xf numFmtId="166" fontId="0" fillId="0" borderId="0" xfId="0" applyNumberFormat="1" applyBorder="1" applyAlignment="1">
      <alignment horizontal="center"/>
    </xf>
    <xf numFmtId="165" fontId="0" fillId="2" borderId="6" xfId="0" applyNumberFormat="1" applyFill="1" applyBorder="1" applyAlignment="1">
      <alignment horizontal="center"/>
    </xf>
    <xf numFmtId="165" fontId="0" fillId="2" borderId="7" xfId="0" applyNumberFormat="1" applyFill="1" applyBorder="1" applyAlignment="1">
      <alignment horizontal="center"/>
    </xf>
    <xf numFmtId="2" fontId="0" fillId="2" borderId="6" xfId="0" applyNumberFormat="1" applyFill="1" applyBorder="1" applyAlignment="1">
      <alignment horizontal="center"/>
    </xf>
    <xf numFmtId="0" fontId="0" fillId="2" borderId="6" xfId="0" applyFill="1" applyBorder="1" applyAlignment="1">
      <alignment horizontal="center"/>
    </xf>
    <xf numFmtId="16" fontId="0" fillId="3" borderId="0" xfId="0" applyNumberFormat="1" applyFill="1" applyBorder="1" applyAlignment="1">
      <alignment horizontal="center"/>
    </xf>
    <xf numFmtId="0" fontId="0" fillId="3" borderId="0" xfId="0" applyNumberFormat="1" applyFill="1" applyBorder="1" applyAlignment="1">
      <alignment horizontal="center"/>
    </xf>
    <xf numFmtId="2" fontId="0" fillId="3" borderId="0" xfId="0" applyNumberFormat="1" applyFill="1" applyBorder="1" applyAlignment="1">
      <alignment horizontal="center"/>
    </xf>
    <xf numFmtId="165" fontId="0" fillId="3" borderId="0" xfId="0" applyNumberFormat="1" applyFill="1" applyBorder="1" applyAlignment="1">
      <alignment horizontal="center"/>
    </xf>
    <xf numFmtId="0" fontId="0" fillId="0" borderId="8" xfId="0" applyBorder="1"/>
    <xf numFmtId="0" fontId="0" fillId="0" borderId="9" xfId="0" applyBorder="1"/>
    <xf numFmtId="0" fontId="0" fillId="2" borderId="10" xfId="0" applyFill="1" applyBorder="1"/>
    <xf numFmtId="0" fontId="0" fillId="0" borderId="11" xfId="0" applyBorder="1"/>
    <xf numFmtId="0" fontId="0" fillId="0" borderId="4" xfId="0" applyBorder="1"/>
    <xf numFmtId="0" fontId="0" fillId="0" borderId="1" xfId="0" applyBorder="1"/>
    <xf numFmtId="0" fontId="0" fillId="0" borderId="2" xfId="0" applyBorder="1"/>
    <xf numFmtId="164" fontId="0" fillId="4" borderId="1" xfId="0" applyNumberFormat="1" applyFill="1" applyBorder="1" applyAlignment="1">
      <alignment horizontal="center" wrapText="1"/>
    </xf>
    <xf numFmtId="0" fontId="0" fillId="4" borderId="0" xfId="0" applyFill="1" applyBorder="1" applyAlignment="1">
      <alignment horizontal="center"/>
    </xf>
    <xf numFmtId="165" fontId="0" fillId="4" borderId="0" xfId="0" applyNumberFormat="1" applyFill="1" applyBorder="1" applyAlignment="1">
      <alignment horizontal="center"/>
    </xf>
    <xf numFmtId="14" fontId="0" fillId="2" borderId="10" xfId="0" applyNumberFormat="1" applyFill="1" applyBorder="1" applyAlignment="1">
      <alignment horizontal="center"/>
    </xf>
    <xf numFmtId="11" fontId="0" fillId="0" borderId="0" xfId="0" applyNumberFormat="1"/>
    <xf numFmtId="166" fontId="0" fillId="3" borderId="0" xfId="0" applyNumberFormat="1" applyFill="1" applyBorder="1" applyAlignment="1">
      <alignment horizontal="left"/>
    </xf>
    <xf numFmtId="168" fontId="0" fillId="3" borderId="10" xfId="0" applyNumberFormat="1" applyFill="1" applyBorder="1" applyAlignment="1">
      <alignment horizontal="center"/>
    </xf>
    <xf numFmtId="0" fontId="0" fillId="3" borderId="12" xfId="0" applyFill="1" applyBorder="1"/>
    <xf numFmtId="0" fontId="0" fillId="0" borderId="11" xfId="0" applyBorder="1" applyAlignment="1">
      <alignment horizontal="center"/>
    </xf>
    <xf numFmtId="168" fontId="0" fillId="2" borderId="6" xfId="0" applyNumberFormat="1" applyFill="1" applyBorder="1" applyAlignment="1">
      <alignment horizontal="center"/>
    </xf>
    <xf numFmtId="0" fontId="0" fillId="0" borderId="0" xfId="0" applyBorder="1"/>
    <xf numFmtId="167" fontId="0" fillId="3" borderId="13" xfId="0" applyNumberFormat="1" applyFill="1" applyBorder="1" applyAlignment="1">
      <alignment horizontal="center"/>
    </xf>
    <xf numFmtId="166" fontId="0" fillId="2" borderId="6" xfId="0" applyNumberFormat="1" applyFill="1" applyBorder="1" applyAlignment="1">
      <alignment horizontal="center"/>
    </xf>
    <xf numFmtId="0" fontId="0" fillId="0" borderId="4" xfId="0" applyBorder="1"/>
    <xf numFmtId="0" fontId="0" fillId="0" borderId="5" xfId="0" applyBorder="1"/>
    <xf numFmtId="0" fontId="0" fillId="0" borderId="14" xfId="0" applyBorder="1"/>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167" fontId="0" fillId="3" borderId="0" xfId="0" applyNumberFormat="1" applyFill="1" applyBorder="1" applyAlignment="1">
      <alignment horizontal="center"/>
    </xf>
    <xf numFmtId="168" fontId="0" fillId="3" borderId="0" xfId="0" applyNumberFormat="1" applyFill="1" applyBorder="1" applyAlignment="1">
      <alignment horizontal="center"/>
    </xf>
    <xf numFmtId="169" fontId="0" fillId="0" borderId="0" xfId="0" applyNumberFormat="1" applyBorder="1"/>
    <xf numFmtId="2" fontId="0" fillId="0" borderId="0" xfId="0" applyNumberFormat="1" applyAlignment="1">
      <alignment horizontal="center"/>
    </xf>
    <xf numFmtId="0" fontId="0" fillId="0" borderId="0" xfId="0" applyAlignment="1">
      <alignment horizontal="center"/>
    </xf>
    <xf numFmtId="0" fontId="0" fillId="0" borderId="0" xfId="0" applyFill="1" applyBorder="1"/>
    <xf numFmtId="167" fontId="0" fillId="0" borderId="0" xfId="0" applyNumberFormat="1" applyBorder="1"/>
    <xf numFmtId="0" fontId="0" fillId="0" borderId="0" xfId="0" applyAlignment="1">
      <alignment wrapText="1"/>
    </xf>
    <xf numFmtId="164" fontId="0" fillId="0" borderId="0" xfId="0" applyNumberFormat="1" applyBorder="1" applyAlignment="1">
      <alignment horizontal="center" wrapText="1"/>
    </xf>
    <xf numFmtId="164" fontId="0" fillId="0" borderId="3" xfId="0" applyNumberFormat="1" applyBorder="1" applyAlignment="1">
      <alignment horizontal="center" wrapText="1"/>
    </xf>
    <xf numFmtId="0" fontId="0" fillId="0" borderId="6" xfId="0" applyBorder="1"/>
    <xf numFmtId="0" fontId="0" fillId="3" borderId="7" xfId="0" applyFill="1" applyBorder="1"/>
    <xf numFmtId="170" fontId="0" fillId="3" borderId="0" xfId="0" applyNumberFormat="1" applyFill="1" applyBorder="1" applyAlignment="1">
      <alignment horizontal="center"/>
    </xf>
    <xf numFmtId="170" fontId="0" fillId="0" borderId="0" xfId="0" applyNumberFormat="1" applyBorder="1" applyAlignment="1">
      <alignment horizontal="center"/>
    </xf>
    <xf numFmtId="169" fontId="0" fillId="0" borderId="2" xfId="0" applyNumberFormat="1" applyBorder="1"/>
    <xf numFmtId="2" fontId="0" fillId="0" borderId="0" xfId="0" applyNumberFormat="1"/>
    <xf numFmtId="171" fontId="0" fillId="3" borderId="0" xfId="0" applyNumberFormat="1" applyFill="1" applyBorder="1" applyAlignment="1">
      <alignment horizontal="center"/>
    </xf>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0" fillId="0" borderId="0" xfId="0" applyBorder="1" applyAlignment="1">
      <alignment wrapText="1"/>
    </xf>
    <xf numFmtId="0" fontId="0" fillId="0" borderId="6" xfId="0" applyBorder="1" applyAlignment="1">
      <alignment wrapText="1"/>
    </xf>
    <xf numFmtId="0" fontId="0" fillId="0" borderId="7"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178454980988154E-2"/>
          <c:y val="4.5714285714285714E-2"/>
          <c:w val="0.84216079582621406"/>
          <c:h val="0.8041397825271841"/>
        </c:manualLayout>
      </c:layout>
      <c:lineChart>
        <c:grouping val="standard"/>
        <c:varyColors val="0"/>
        <c:ser>
          <c:idx val="4"/>
          <c:order val="0"/>
          <c:tx>
            <c:strRef>
              <c:f>Holuhraun!$G$5</c:f>
              <c:strCache>
                <c:ptCount val="1"/>
                <c:pt idx="0">
                  <c:v>Lava total km³</c:v>
                </c:pt>
              </c:strCache>
            </c:strRef>
          </c:tx>
          <c:spPr>
            <a:ln w="28575" cap="rnd">
              <a:solidFill>
                <a:schemeClr val="accent5"/>
              </a:solidFill>
              <a:round/>
            </a:ln>
            <a:effectLst/>
          </c:spPr>
          <c:marker>
            <c:symbol val="none"/>
          </c:marker>
          <c:cat>
            <c:numRef>
              <c:f>Holuhraun!$B$6:$B$29</c:f>
              <c:numCache>
                <c:formatCode>d\-mmm</c:formatCode>
                <c:ptCount val="24"/>
                <c:pt idx="0">
                  <c:v>41867</c:v>
                </c:pt>
                <c:pt idx="1">
                  <c:v>41880</c:v>
                </c:pt>
                <c:pt idx="2">
                  <c:v>41883</c:v>
                </c:pt>
                <c:pt idx="3">
                  <c:v>41895</c:v>
                </c:pt>
                <c:pt idx="4">
                  <c:v>41902</c:v>
                </c:pt>
                <c:pt idx="5">
                  <c:v>41908</c:v>
                </c:pt>
                <c:pt idx="6">
                  <c:v>41919</c:v>
                </c:pt>
                <c:pt idx="7">
                  <c:v>41922</c:v>
                </c:pt>
                <c:pt idx="8">
                  <c:v>41929</c:v>
                </c:pt>
                <c:pt idx="9">
                  <c:v>41931</c:v>
                </c:pt>
                <c:pt idx="10">
                  <c:v>41935</c:v>
                </c:pt>
                <c:pt idx="11">
                  <c:v>41936</c:v>
                </c:pt>
                <c:pt idx="12">
                  <c:v>41939</c:v>
                </c:pt>
                <c:pt idx="13">
                  <c:v>41940</c:v>
                </c:pt>
                <c:pt idx="14">
                  <c:v>41956</c:v>
                </c:pt>
                <c:pt idx="15">
                  <c:v>41968</c:v>
                </c:pt>
                <c:pt idx="16">
                  <c:v>41978</c:v>
                </c:pt>
                <c:pt idx="17">
                  <c:v>41984</c:v>
                </c:pt>
                <c:pt idx="18">
                  <c:v>41985</c:v>
                </c:pt>
                <c:pt idx="19">
                  <c:v>41991</c:v>
                </c:pt>
                <c:pt idx="20">
                  <c:v>42002</c:v>
                </c:pt>
                <c:pt idx="21">
                  <c:v>42019</c:v>
                </c:pt>
                <c:pt idx="22">
                  <c:v>42047</c:v>
                </c:pt>
                <c:pt idx="23" formatCode="m/d/yyyy">
                  <c:v>42055</c:v>
                </c:pt>
              </c:numCache>
            </c:numRef>
          </c:cat>
          <c:val>
            <c:numRef>
              <c:f>Holuhraun!$G$6:$G$29</c:f>
              <c:numCache>
                <c:formatCode>0.000</c:formatCode>
                <c:ptCount val="24"/>
                <c:pt idx="0">
                  <c:v>0</c:v>
                </c:pt>
                <c:pt idx="1">
                  <c:v>0</c:v>
                </c:pt>
                <c:pt idx="2">
                  <c:v>3.645536926067694E-2</c:v>
                </c:pt>
                <c:pt idx="3">
                  <c:v>0.340351914604266</c:v>
                </c:pt>
                <c:pt idx="4">
                  <c:v>0.58538059323820424</c:v>
                </c:pt>
                <c:pt idx="5">
                  <c:v>0.7404072242070755</c:v>
                </c:pt>
                <c:pt idx="6">
                  <c:v>0.96053163013449738</c:v>
                </c:pt>
                <c:pt idx="7">
                  <c:v>1.0032979941187992</c:v>
                </c:pt>
                <c:pt idx="8">
                  <c:v>1.0833505494718505</c:v>
                </c:pt>
                <c:pt idx="9">
                  <c:v>1.1193658791292631</c:v>
                </c:pt>
                <c:pt idx="10">
                  <c:v>1.1749139448833814</c:v>
                </c:pt>
                <c:pt idx="11">
                  <c:v>1.1944017905677573</c:v>
                </c:pt>
                <c:pt idx="12">
                  <c:v>1.2139469190549812</c:v>
                </c:pt>
                <c:pt idx="13">
                  <c:v>1.2237477700077397</c:v>
                </c:pt>
                <c:pt idx="14">
                  <c:v>1.3930549204377209</c:v>
                </c:pt>
                <c:pt idx="15">
                  <c:v>1.4482425232174716</c:v>
                </c:pt>
                <c:pt idx="16">
                  <c:v>1.5012776303507636</c:v>
                </c:pt>
                <c:pt idx="17">
                  <c:v>1.5343134716067011</c:v>
                </c:pt>
                <c:pt idx="18">
                  <c:v>1.5623722414567243</c:v>
                </c:pt>
                <c:pt idx="19">
                  <c:v>1.5930777080673642</c:v>
                </c:pt>
                <c:pt idx="20">
                  <c:v>1.6700989856951178</c:v>
                </c:pt>
                <c:pt idx="21">
                  <c:v>1.7089199712160006</c:v>
                </c:pt>
                <c:pt idx="22">
                  <c:v>1.7271075568479208</c:v>
                </c:pt>
                <c:pt idx="23">
                  <c:v>1.7483392929389874</c:v>
                </c:pt>
              </c:numCache>
            </c:numRef>
          </c:val>
          <c:smooth val="0"/>
        </c:ser>
        <c:dLbls>
          <c:showLegendKey val="0"/>
          <c:showVal val="0"/>
          <c:showCatName val="0"/>
          <c:showSerName val="0"/>
          <c:showPercent val="0"/>
          <c:showBubbleSize val="0"/>
        </c:dLbls>
        <c:marker val="1"/>
        <c:smooth val="0"/>
        <c:axId val="136839056"/>
        <c:axId val="136839616"/>
      </c:lineChart>
      <c:lineChart>
        <c:grouping val="standard"/>
        <c:varyColors val="0"/>
        <c:ser>
          <c:idx val="5"/>
          <c:order val="1"/>
          <c:tx>
            <c:strRef>
              <c:f>Holuhraun!$H$5</c:f>
              <c:strCache>
                <c:ptCount val="1"/>
                <c:pt idx="0">
                  <c:v>24 hour flow km³</c:v>
                </c:pt>
              </c:strCache>
            </c:strRef>
          </c:tx>
          <c:spPr>
            <a:ln w="28575" cap="rnd">
              <a:solidFill>
                <a:schemeClr val="accent6"/>
              </a:solidFill>
              <a:round/>
            </a:ln>
            <a:effectLst/>
          </c:spPr>
          <c:marker>
            <c:symbol val="none"/>
          </c:marker>
          <c:trendline>
            <c:spPr>
              <a:ln w="19050" cap="rnd">
                <a:solidFill>
                  <a:schemeClr val="accent6"/>
                </a:solidFill>
                <a:prstDash val="sysDot"/>
              </a:ln>
              <a:effectLst/>
            </c:spPr>
            <c:trendlineType val="movingAvg"/>
            <c:period val="3"/>
            <c:dispRSqr val="0"/>
            <c:dispEq val="0"/>
          </c:trendline>
          <c:cat>
            <c:numRef>
              <c:f>Holuhraun!$B$6:$B$29</c:f>
              <c:numCache>
                <c:formatCode>d\-mmm</c:formatCode>
                <c:ptCount val="24"/>
                <c:pt idx="0">
                  <c:v>41867</c:v>
                </c:pt>
                <c:pt idx="1">
                  <c:v>41880</c:v>
                </c:pt>
                <c:pt idx="2">
                  <c:v>41883</c:v>
                </c:pt>
                <c:pt idx="3">
                  <c:v>41895</c:v>
                </c:pt>
                <c:pt idx="4">
                  <c:v>41902</c:v>
                </c:pt>
                <c:pt idx="5">
                  <c:v>41908</c:v>
                </c:pt>
                <c:pt idx="6">
                  <c:v>41919</c:v>
                </c:pt>
                <c:pt idx="7">
                  <c:v>41922</c:v>
                </c:pt>
                <c:pt idx="8">
                  <c:v>41929</c:v>
                </c:pt>
                <c:pt idx="9">
                  <c:v>41931</c:v>
                </c:pt>
                <c:pt idx="10">
                  <c:v>41935</c:v>
                </c:pt>
                <c:pt idx="11">
                  <c:v>41936</c:v>
                </c:pt>
                <c:pt idx="12">
                  <c:v>41939</c:v>
                </c:pt>
                <c:pt idx="13">
                  <c:v>41940</c:v>
                </c:pt>
                <c:pt idx="14">
                  <c:v>41956</c:v>
                </c:pt>
                <c:pt idx="15">
                  <c:v>41968</c:v>
                </c:pt>
                <c:pt idx="16">
                  <c:v>41978</c:v>
                </c:pt>
                <c:pt idx="17">
                  <c:v>41984</c:v>
                </c:pt>
                <c:pt idx="18">
                  <c:v>41985</c:v>
                </c:pt>
                <c:pt idx="19">
                  <c:v>41991</c:v>
                </c:pt>
                <c:pt idx="20">
                  <c:v>42002</c:v>
                </c:pt>
                <c:pt idx="21">
                  <c:v>42019</c:v>
                </c:pt>
                <c:pt idx="22">
                  <c:v>42047</c:v>
                </c:pt>
                <c:pt idx="23" formatCode="m/d/yyyy">
                  <c:v>42055</c:v>
                </c:pt>
              </c:numCache>
            </c:numRef>
          </c:cat>
          <c:val>
            <c:numRef>
              <c:f>Holuhraun!$H$6:$H$29</c:f>
              <c:numCache>
                <c:formatCode>0.000</c:formatCode>
                <c:ptCount val="24"/>
                <c:pt idx="0">
                  <c:v>0</c:v>
                </c:pt>
                <c:pt idx="1">
                  <c:v>0</c:v>
                </c:pt>
                <c:pt idx="2">
                  <c:v>1.2151789757330993E-2</c:v>
                </c:pt>
                <c:pt idx="3">
                  <c:v>2.5324712086359669E-2</c:v>
                </c:pt>
                <c:pt idx="4">
                  <c:v>3.5004096848609854E-2</c:v>
                </c:pt>
                <c:pt idx="5">
                  <c:v>2.5837771667992376E-2</c:v>
                </c:pt>
                <c:pt idx="6">
                  <c:v>2.0011309506675037E-2</c:v>
                </c:pt>
                <c:pt idx="7">
                  <c:v>1.4255454183745742E-2</c:v>
                </c:pt>
                <c:pt idx="8">
                  <c:v>1.1436079110160266E-2</c:v>
                </c:pt>
                <c:pt idx="9">
                  <c:v>1.8007664003922841E-2</c:v>
                </c:pt>
                <c:pt idx="10">
                  <c:v>1.3887015999949126E-2</c:v>
                </c:pt>
                <c:pt idx="11">
                  <c:v>1.9487843893081003E-2</c:v>
                </c:pt>
                <c:pt idx="12">
                  <c:v>6.5150422195906126E-3</c:v>
                </c:pt>
                <c:pt idx="13">
                  <c:v>9.800849105636722E-3</c:v>
                </c:pt>
                <c:pt idx="14">
                  <c:v>1.058169676625173E-2</c:v>
                </c:pt>
                <c:pt idx="15">
                  <c:v>4.5989667085822306E-3</c:v>
                </c:pt>
                <c:pt idx="16">
                  <c:v>5.3035104753427435E-3</c:v>
                </c:pt>
                <c:pt idx="17">
                  <c:v>5.5059731352651671E-3</c:v>
                </c:pt>
                <c:pt idx="18">
                  <c:v>2.8058767350775726E-2</c:v>
                </c:pt>
                <c:pt idx="19">
                  <c:v>5.1175773418653536E-3</c:v>
                </c:pt>
                <c:pt idx="20">
                  <c:v>7.0019340833614614E-3</c:v>
                </c:pt>
                <c:pt idx="21">
                  <c:v>2.2835872196142241E-3</c:v>
                </c:pt>
                <c:pt idx="22">
                  <c:v>6.4955652887408301E-4</c:v>
                </c:pt>
                <c:pt idx="23">
                  <c:v>2.6539666531927297E-3</c:v>
                </c:pt>
              </c:numCache>
            </c:numRef>
          </c:val>
          <c:smooth val="0"/>
        </c:ser>
        <c:dLbls>
          <c:showLegendKey val="0"/>
          <c:showVal val="0"/>
          <c:showCatName val="0"/>
          <c:showSerName val="0"/>
          <c:showPercent val="0"/>
          <c:showBubbleSize val="0"/>
        </c:dLbls>
        <c:marker val="1"/>
        <c:smooth val="0"/>
        <c:axId val="136840176"/>
        <c:axId val="136840736"/>
      </c:lineChart>
      <c:dateAx>
        <c:axId val="136839056"/>
        <c:scaling>
          <c:orientation val="minMax"/>
        </c:scaling>
        <c:delete val="0"/>
        <c:axPos val="b"/>
        <c:numFmt formatCode="d/mmm"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is-IS"/>
          </a:p>
        </c:txPr>
        <c:crossAx val="136839616"/>
        <c:crosses val="autoZero"/>
        <c:auto val="1"/>
        <c:lblOffset val="100"/>
        <c:baseTimeUnit val="days"/>
      </c:dateAx>
      <c:valAx>
        <c:axId val="136839616"/>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ln w="6350">
            <a:noFill/>
          </a:ln>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is-IS"/>
          </a:p>
        </c:txPr>
        <c:crossAx val="136839056"/>
        <c:crosses val="autoZero"/>
        <c:crossBetween val="between"/>
      </c:valAx>
      <c:dateAx>
        <c:axId val="136840176"/>
        <c:scaling>
          <c:orientation val="minMax"/>
        </c:scaling>
        <c:delete val="1"/>
        <c:axPos val="b"/>
        <c:numFmt formatCode="d\-mmm" sourceLinked="1"/>
        <c:majorTickMark val="out"/>
        <c:minorTickMark val="none"/>
        <c:tickLblPos val="nextTo"/>
        <c:crossAx val="136840736"/>
        <c:crosses val="autoZero"/>
        <c:auto val="1"/>
        <c:lblOffset val="100"/>
        <c:baseTimeUnit val="days"/>
      </c:dateAx>
      <c:valAx>
        <c:axId val="136840736"/>
        <c:scaling>
          <c:orientation val="minMax"/>
        </c:scaling>
        <c:delete val="0"/>
        <c:axPos val="r"/>
        <c:numFmt formatCode="0.000" sourceLinked="1"/>
        <c:majorTickMark val="out"/>
        <c:minorTickMark val="none"/>
        <c:tickLblPos val="nextTo"/>
        <c:spPr>
          <a:ln w="6350">
            <a:noFill/>
          </a:ln>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is-IS"/>
          </a:p>
        </c:txPr>
        <c:crossAx val="136840176"/>
        <c:crosses val="max"/>
        <c:crossBetween val="between"/>
      </c:valAx>
      <c:spPr>
        <a:noFill/>
        <a:ln w="25400">
          <a:noFill/>
        </a:ln>
      </c:spPr>
    </c:plotArea>
    <c:legend>
      <c:legendPos val="r"/>
      <c:layout>
        <c:manualLayout>
          <c:xMode val="edge"/>
          <c:yMode val="edge"/>
          <c:x val="9.4084844077226018E-2"/>
          <c:y val="0.91431505196176777"/>
          <c:w val="0.82400113441828604"/>
          <c:h val="6.285915982237153E-2"/>
        </c:manualLayout>
      </c:layout>
      <c:overlay val="0"/>
      <c:spPr>
        <a:noFill/>
        <a:ln w="25400">
          <a:noFill/>
        </a:ln>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s-I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394183575315781E-2"/>
          <c:y val="4.8598130841121495E-2"/>
          <c:w val="0.8673143432076853"/>
          <c:h val="0.86467937302229747"/>
        </c:manualLayout>
      </c:layout>
      <c:lineChart>
        <c:grouping val="standard"/>
        <c:varyColors val="0"/>
        <c:ser>
          <c:idx val="1"/>
          <c:order val="0"/>
          <c:tx>
            <c:strRef>
              <c:f>Holuhraun!$E$36</c:f>
              <c:strCache>
                <c:ptCount val="1"/>
                <c:pt idx="0">
                  <c:v>Subsidence total km³</c:v>
                </c:pt>
              </c:strCache>
            </c:strRef>
          </c:tx>
          <c:spPr>
            <a:ln w="28575" cap="rnd">
              <a:solidFill>
                <a:srgbClr val="0070C0"/>
              </a:solidFill>
              <a:round/>
            </a:ln>
            <a:effectLst/>
          </c:spPr>
          <c:marker>
            <c:symbol val="none"/>
          </c:marker>
          <c:cat>
            <c:numRef>
              <c:f>Holuhraun!$B$37:$B$47</c:f>
              <c:numCache>
                <c:formatCode>d\-mmm</c:formatCode>
                <c:ptCount val="11"/>
                <c:pt idx="0">
                  <c:v>41867</c:v>
                </c:pt>
                <c:pt idx="1">
                  <c:v>41894</c:v>
                </c:pt>
                <c:pt idx="2">
                  <c:v>41905</c:v>
                </c:pt>
                <c:pt idx="3">
                  <c:v>41917</c:v>
                </c:pt>
                <c:pt idx="4">
                  <c:v>41928</c:v>
                </c:pt>
                <c:pt idx="5">
                  <c:v>41931</c:v>
                </c:pt>
                <c:pt idx="6">
                  <c:v>41933</c:v>
                </c:pt>
                <c:pt idx="7">
                  <c:v>41939</c:v>
                </c:pt>
                <c:pt idx="8">
                  <c:v>41966</c:v>
                </c:pt>
                <c:pt idx="9">
                  <c:v>42045</c:v>
                </c:pt>
                <c:pt idx="10" formatCode="m/d/yyyy">
                  <c:v>42055</c:v>
                </c:pt>
              </c:numCache>
            </c:numRef>
          </c:cat>
          <c:val>
            <c:numRef>
              <c:f>Holuhraun!$E$37:$E$47</c:f>
              <c:numCache>
                <c:formatCode>0.000</c:formatCode>
                <c:ptCount val="11"/>
                <c:pt idx="0">
                  <c:v>0</c:v>
                </c:pt>
                <c:pt idx="1">
                  <c:v>0.504</c:v>
                </c:pt>
                <c:pt idx="2">
                  <c:v>0.65240000000000009</c:v>
                </c:pt>
                <c:pt idx="3">
                  <c:v>0.78400000000000003</c:v>
                </c:pt>
                <c:pt idx="4">
                  <c:v>0.89600000000000002</c:v>
                </c:pt>
                <c:pt idx="5">
                  <c:v>0.92400000000000004</c:v>
                </c:pt>
                <c:pt idx="6">
                  <c:v>0.94220000000000004</c:v>
                </c:pt>
                <c:pt idx="7">
                  <c:v>0.99680000000000013</c:v>
                </c:pt>
                <c:pt idx="8">
                  <c:v>1.3804000000000001</c:v>
                </c:pt>
                <c:pt idx="9">
                  <c:v>1.7920000000000003</c:v>
                </c:pt>
                <c:pt idx="10" formatCode="&quot;&quot;0.0&quot; km³&quot;">
                  <c:v>1.7920000000000003</c:v>
                </c:pt>
              </c:numCache>
            </c:numRef>
          </c:val>
          <c:smooth val="0"/>
        </c:ser>
        <c:dLbls>
          <c:showLegendKey val="0"/>
          <c:showVal val="0"/>
          <c:showCatName val="0"/>
          <c:showSerName val="0"/>
          <c:showPercent val="0"/>
          <c:showBubbleSize val="0"/>
        </c:dLbls>
        <c:marker val="1"/>
        <c:smooth val="0"/>
        <c:axId val="137801168"/>
        <c:axId val="137801728"/>
      </c:lineChart>
      <c:lineChart>
        <c:grouping val="standard"/>
        <c:varyColors val="0"/>
        <c:ser>
          <c:idx val="5"/>
          <c:order val="1"/>
          <c:tx>
            <c:strRef>
              <c:f>Holuhraun!$H$36</c:f>
              <c:strCache>
                <c:ptCount val="1"/>
                <c:pt idx="0">
                  <c:v>24 hour flow  km³</c:v>
                </c:pt>
              </c:strCache>
            </c:strRef>
          </c:tx>
          <c:spPr>
            <a:ln w="28575" cap="rnd">
              <a:solidFill>
                <a:schemeClr val="accent6"/>
              </a:solidFill>
              <a:round/>
            </a:ln>
            <a:effectLst/>
          </c:spPr>
          <c:marker>
            <c:symbol val="none"/>
          </c:marker>
          <c:trendline>
            <c:spPr>
              <a:ln w="19050" cap="rnd">
                <a:solidFill>
                  <a:schemeClr val="accent6"/>
                </a:solidFill>
                <a:prstDash val="sysDot"/>
              </a:ln>
              <a:effectLst/>
            </c:spPr>
            <c:trendlineType val="movingAvg"/>
            <c:period val="3"/>
            <c:dispRSqr val="0"/>
            <c:dispEq val="0"/>
          </c:trendline>
          <c:cat>
            <c:numRef>
              <c:f>Holuhraun!$B$37:$B$47</c:f>
              <c:numCache>
                <c:formatCode>d\-mmm</c:formatCode>
                <c:ptCount val="11"/>
                <c:pt idx="0">
                  <c:v>41867</c:v>
                </c:pt>
                <c:pt idx="1">
                  <c:v>41894</c:v>
                </c:pt>
                <c:pt idx="2">
                  <c:v>41905</c:v>
                </c:pt>
                <c:pt idx="3">
                  <c:v>41917</c:v>
                </c:pt>
                <c:pt idx="4">
                  <c:v>41928</c:v>
                </c:pt>
                <c:pt idx="5">
                  <c:v>41931</c:v>
                </c:pt>
                <c:pt idx="6">
                  <c:v>41933</c:v>
                </c:pt>
                <c:pt idx="7">
                  <c:v>41939</c:v>
                </c:pt>
                <c:pt idx="8">
                  <c:v>41966</c:v>
                </c:pt>
                <c:pt idx="9">
                  <c:v>42045</c:v>
                </c:pt>
                <c:pt idx="10" formatCode="m/d/yyyy">
                  <c:v>42055</c:v>
                </c:pt>
              </c:numCache>
            </c:numRef>
          </c:cat>
          <c:val>
            <c:numRef>
              <c:f>Holuhraun!$H$37:$H$47</c:f>
              <c:numCache>
                <c:formatCode>0.000</c:formatCode>
                <c:ptCount val="11"/>
                <c:pt idx="0">
                  <c:v>1.8666666666666668E-2</c:v>
                </c:pt>
                <c:pt idx="1">
                  <c:v>1.8666666666666668E-2</c:v>
                </c:pt>
                <c:pt idx="2">
                  <c:v>1.3490909090909099E-2</c:v>
                </c:pt>
                <c:pt idx="3">
                  <c:v>1.0966666666666661E-2</c:v>
                </c:pt>
                <c:pt idx="4">
                  <c:v>1.0181818181818181E-2</c:v>
                </c:pt>
                <c:pt idx="5">
                  <c:v>9.333333333333341E-3</c:v>
                </c:pt>
                <c:pt idx="6">
                  <c:v>9.099999999999997E-3</c:v>
                </c:pt>
                <c:pt idx="7">
                  <c:v>9.1000000000000161E-3</c:v>
                </c:pt>
                <c:pt idx="8">
                  <c:v>1.4207407407407405E-2</c:v>
                </c:pt>
                <c:pt idx="9">
                  <c:v>5.2101265822784831E-3</c:v>
                </c:pt>
                <c:pt idx="10">
                  <c:v>0</c:v>
                </c:pt>
              </c:numCache>
            </c:numRef>
          </c:val>
          <c:smooth val="0"/>
        </c:ser>
        <c:dLbls>
          <c:showLegendKey val="0"/>
          <c:showVal val="0"/>
          <c:showCatName val="0"/>
          <c:showSerName val="0"/>
          <c:showPercent val="0"/>
          <c:showBubbleSize val="0"/>
        </c:dLbls>
        <c:marker val="1"/>
        <c:smooth val="0"/>
        <c:axId val="137802288"/>
        <c:axId val="137802848"/>
      </c:lineChart>
      <c:dateAx>
        <c:axId val="137801168"/>
        <c:scaling>
          <c:orientation val="minMax"/>
        </c:scaling>
        <c:delete val="0"/>
        <c:axPos val="b"/>
        <c:numFmt formatCode="d/mmm" sourceLinked="0"/>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is-IS"/>
          </a:p>
        </c:txPr>
        <c:crossAx val="137801728"/>
        <c:crosses val="autoZero"/>
        <c:auto val="1"/>
        <c:lblOffset val="100"/>
        <c:baseTimeUnit val="days"/>
      </c:dateAx>
      <c:valAx>
        <c:axId val="137801728"/>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ln w="6350">
            <a:noFill/>
          </a:ln>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is-IS"/>
          </a:p>
        </c:txPr>
        <c:crossAx val="137801168"/>
        <c:crosses val="autoZero"/>
        <c:crossBetween val="between"/>
      </c:valAx>
      <c:dateAx>
        <c:axId val="137802288"/>
        <c:scaling>
          <c:orientation val="minMax"/>
        </c:scaling>
        <c:delete val="1"/>
        <c:axPos val="b"/>
        <c:numFmt formatCode="d\-mmm" sourceLinked="1"/>
        <c:majorTickMark val="out"/>
        <c:minorTickMark val="none"/>
        <c:tickLblPos val="nextTo"/>
        <c:crossAx val="137802848"/>
        <c:crosses val="autoZero"/>
        <c:auto val="1"/>
        <c:lblOffset val="100"/>
        <c:baseTimeUnit val="days"/>
      </c:dateAx>
      <c:valAx>
        <c:axId val="137802848"/>
        <c:scaling>
          <c:orientation val="minMax"/>
        </c:scaling>
        <c:delete val="0"/>
        <c:axPos val="r"/>
        <c:numFmt formatCode="0.000" sourceLinked="1"/>
        <c:majorTickMark val="out"/>
        <c:minorTickMark val="none"/>
        <c:tickLblPos val="nextTo"/>
        <c:spPr>
          <a:ln w="6350">
            <a:noFill/>
          </a:ln>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is-IS"/>
          </a:p>
        </c:txPr>
        <c:crossAx val="137802288"/>
        <c:crosses val="max"/>
        <c:crossBetween val="between"/>
      </c:valAx>
      <c:spPr>
        <a:noFill/>
        <a:ln w="25400">
          <a:noFill/>
        </a:ln>
      </c:spPr>
    </c:plotArea>
    <c:legend>
      <c:legendPos val="r"/>
      <c:layout>
        <c:manualLayout>
          <c:xMode val="edge"/>
          <c:yMode val="edge"/>
          <c:x val="5.9362653412700396E-2"/>
          <c:y val="0.90452312311502248"/>
          <c:w val="0.89652827846360339"/>
          <c:h val="6.1799716486119545E-2"/>
        </c:manualLayout>
      </c:layout>
      <c:overlay val="0"/>
      <c:spPr>
        <a:noFill/>
        <a:ln w="25400">
          <a:noFill/>
        </a:ln>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s-I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364286289839049E-2"/>
          <c:y val="3.0476190476190476E-2"/>
          <c:w val="0.84707602135112547"/>
          <c:h val="0.88114945631796027"/>
        </c:manualLayout>
      </c:layout>
      <c:lineChart>
        <c:grouping val="standard"/>
        <c:varyColors val="0"/>
        <c:ser>
          <c:idx val="4"/>
          <c:order val="0"/>
          <c:tx>
            <c:strRef>
              <c:f>Laki!$G$5</c:f>
              <c:strCache>
                <c:ptCount val="1"/>
                <c:pt idx="0">
                  <c:v>Lava total km³</c:v>
                </c:pt>
              </c:strCache>
            </c:strRef>
          </c:tx>
          <c:spPr>
            <a:ln w="28575" cap="rnd">
              <a:solidFill>
                <a:schemeClr val="accent5"/>
              </a:solidFill>
              <a:round/>
            </a:ln>
            <a:effectLst/>
          </c:spPr>
          <c:marker>
            <c:symbol val="none"/>
          </c:marker>
          <c:cat>
            <c:numRef>
              <c:f>Laki!$B$6:$B$23</c:f>
              <c:numCache>
                <c:formatCode>d\-mmm</c:formatCode>
                <c:ptCount val="18"/>
                <c:pt idx="0">
                  <c:v>41867</c:v>
                </c:pt>
                <c:pt idx="1">
                  <c:v>41880</c:v>
                </c:pt>
                <c:pt idx="2">
                  <c:v>41883</c:v>
                </c:pt>
                <c:pt idx="3">
                  <c:v>41895</c:v>
                </c:pt>
                <c:pt idx="4">
                  <c:v>41902</c:v>
                </c:pt>
                <c:pt idx="5">
                  <c:v>41908</c:v>
                </c:pt>
                <c:pt idx="6">
                  <c:v>41919</c:v>
                </c:pt>
                <c:pt idx="7">
                  <c:v>41922</c:v>
                </c:pt>
                <c:pt idx="8">
                  <c:v>41929</c:v>
                </c:pt>
                <c:pt idx="9">
                  <c:v>41931</c:v>
                </c:pt>
                <c:pt idx="10">
                  <c:v>41935</c:v>
                </c:pt>
                <c:pt idx="11">
                  <c:v>41936</c:v>
                </c:pt>
                <c:pt idx="12">
                  <c:v>41939</c:v>
                </c:pt>
                <c:pt idx="13">
                  <c:v>41940</c:v>
                </c:pt>
                <c:pt idx="14">
                  <c:v>41956</c:v>
                </c:pt>
                <c:pt idx="15">
                  <c:v>41968</c:v>
                </c:pt>
                <c:pt idx="16">
                  <c:v>41975</c:v>
                </c:pt>
                <c:pt idx="17" formatCode="m/d/yyyy">
                  <c:v>42124</c:v>
                </c:pt>
              </c:numCache>
            </c:numRef>
          </c:cat>
          <c:val>
            <c:numRef>
              <c:f>Laki!$G$6:$G$23</c:f>
              <c:numCache>
                <c:formatCode>0.000</c:formatCode>
                <c:ptCount val="18"/>
                <c:pt idx="0">
                  <c:v>0</c:v>
                </c:pt>
                <c:pt idx="1">
                  <c:v>0</c:v>
                </c:pt>
                <c:pt idx="2">
                  <c:v>4.0800000000000003E-2</c:v>
                </c:pt>
                <c:pt idx="3">
                  <c:v>0.33600000000000002</c:v>
                </c:pt>
                <c:pt idx="4">
                  <c:v>0.55992857142857144</c:v>
                </c:pt>
                <c:pt idx="5">
                  <c:v>0.69912764478764489</c:v>
                </c:pt>
                <c:pt idx="6">
                  <c:v>0.89529784657314082</c:v>
                </c:pt>
                <c:pt idx="7">
                  <c:v>0.93311669992060597</c:v>
                </c:pt>
                <c:pt idx="8">
                  <c:v>1.0038145710372606</c:v>
                </c:pt>
                <c:pt idx="9">
                  <c:v>1.0355490618574614</c:v>
                </c:pt>
                <c:pt idx="10">
                  <c:v>1.0844473294401986</c:v>
                </c:pt>
                <c:pt idx="11">
                  <c:v>1.1015780891791216</c:v>
                </c:pt>
                <c:pt idx="12">
                  <c:v>1.1187509805794869</c:v>
                </c:pt>
                <c:pt idx="13">
                  <c:v>1.1273582312332298</c:v>
                </c:pt>
                <c:pt idx="14">
                  <c:v>1.2760116434718343</c:v>
                </c:pt>
                <c:pt idx="15">
                  <c:v>1.3242951151775089</c:v>
                </c:pt>
                <c:pt idx="16">
                  <c:v>1.8254337209818998</c:v>
                </c:pt>
                <c:pt idx="17">
                  <c:v>12.968609976258287</c:v>
                </c:pt>
              </c:numCache>
            </c:numRef>
          </c:val>
          <c:smooth val="0"/>
        </c:ser>
        <c:dLbls>
          <c:showLegendKey val="0"/>
          <c:showVal val="0"/>
          <c:showCatName val="0"/>
          <c:showSerName val="0"/>
          <c:showPercent val="0"/>
          <c:showBubbleSize val="0"/>
        </c:dLbls>
        <c:marker val="1"/>
        <c:smooth val="0"/>
        <c:axId val="137806208"/>
        <c:axId val="137806768"/>
      </c:lineChart>
      <c:lineChart>
        <c:grouping val="standard"/>
        <c:varyColors val="0"/>
        <c:ser>
          <c:idx val="5"/>
          <c:order val="1"/>
          <c:tx>
            <c:strRef>
              <c:f>Laki!$H$5</c:f>
              <c:strCache>
                <c:ptCount val="1"/>
                <c:pt idx="0">
                  <c:v>24 hour flow km³</c:v>
                </c:pt>
              </c:strCache>
            </c:strRef>
          </c:tx>
          <c:spPr>
            <a:ln w="28575" cap="rnd">
              <a:solidFill>
                <a:schemeClr val="accent6"/>
              </a:solidFill>
              <a:round/>
            </a:ln>
            <a:effectLst/>
          </c:spPr>
          <c:marker>
            <c:symbol val="none"/>
          </c:marker>
          <c:trendline>
            <c:spPr>
              <a:ln w="19050" cap="rnd">
                <a:solidFill>
                  <a:schemeClr val="accent6"/>
                </a:solidFill>
                <a:prstDash val="sysDot"/>
              </a:ln>
              <a:effectLst/>
            </c:spPr>
            <c:trendlineType val="movingAvg"/>
            <c:period val="3"/>
            <c:dispRSqr val="0"/>
            <c:dispEq val="0"/>
          </c:trendline>
          <c:cat>
            <c:numRef>
              <c:f>Laki!$B$6:$B$23</c:f>
              <c:numCache>
                <c:formatCode>d\-mmm</c:formatCode>
                <c:ptCount val="18"/>
                <c:pt idx="0">
                  <c:v>41867</c:v>
                </c:pt>
                <c:pt idx="1">
                  <c:v>41880</c:v>
                </c:pt>
                <c:pt idx="2">
                  <c:v>41883</c:v>
                </c:pt>
                <c:pt idx="3">
                  <c:v>41895</c:v>
                </c:pt>
                <c:pt idx="4">
                  <c:v>41902</c:v>
                </c:pt>
                <c:pt idx="5">
                  <c:v>41908</c:v>
                </c:pt>
                <c:pt idx="6">
                  <c:v>41919</c:v>
                </c:pt>
                <c:pt idx="7">
                  <c:v>41922</c:v>
                </c:pt>
                <c:pt idx="8">
                  <c:v>41929</c:v>
                </c:pt>
                <c:pt idx="9">
                  <c:v>41931</c:v>
                </c:pt>
                <c:pt idx="10">
                  <c:v>41935</c:v>
                </c:pt>
                <c:pt idx="11">
                  <c:v>41936</c:v>
                </c:pt>
                <c:pt idx="12">
                  <c:v>41939</c:v>
                </c:pt>
                <c:pt idx="13">
                  <c:v>41940</c:v>
                </c:pt>
                <c:pt idx="14">
                  <c:v>41956</c:v>
                </c:pt>
                <c:pt idx="15">
                  <c:v>41968</c:v>
                </c:pt>
                <c:pt idx="16">
                  <c:v>41975</c:v>
                </c:pt>
                <c:pt idx="17" formatCode="m/d/yyyy">
                  <c:v>42124</c:v>
                </c:pt>
              </c:numCache>
            </c:numRef>
          </c:cat>
          <c:val>
            <c:numRef>
              <c:f>Laki!$H$6:$H$23</c:f>
              <c:numCache>
                <c:formatCode>0.000</c:formatCode>
                <c:ptCount val="18"/>
                <c:pt idx="0">
                  <c:v>0</c:v>
                </c:pt>
                <c:pt idx="1">
                  <c:v>0</c:v>
                </c:pt>
                <c:pt idx="2">
                  <c:v>1.3600000000000001E-2</c:v>
                </c:pt>
                <c:pt idx="3">
                  <c:v>2.46E-2</c:v>
                </c:pt>
                <c:pt idx="4">
                  <c:v>3.1989795918367349E-2</c:v>
                </c:pt>
                <c:pt idx="5">
                  <c:v>2.3199845559845573E-2</c:v>
                </c:pt>
                <c:pt idx="6">
                  <c:v>1.7833654707772359E-2</c:v>
                </c:pt>
                <c:pt idx="7">
                  <c:v>1.2606284449155051E-2</c:v>
                </c:pt>
                <c:pt idx="8">
                  <c:v>1.0099695873807799E-2</c:v>
                </c:pt>
                <c:pt idx="9">
                  <c:v>1.5867245410100428E-2</c:v>
                </c:pt>
                <c:pt idx="10">
                  <c:v>1.2224566895684297E-2</c:v>
                </c:pt>
                <c:pt idx="11">
                  <c:v>1.7130759738922974E-2</c:v>
                </c:pt>
                <c:pt idx="12">
                  <c:v>5.7242971334550878E-3</c:v>
                </c:pt>
                <c:pt idx="13">
                  <c:v>8.6072506537429039E-3</c:v>
                </c:pt>
                <c:pt idx="14">
                  <c:v>9.2908382649127819E-3</c:v>
                </c:pt>
                <c:pt idx="15">
                  <c:v>4.02362264213955E-3</c:v>
                </c:pt>
                <c:pt idx="16">
                  <c:v>7.1591229400627274E-2</c:v>
                </c:pt>
                <c:pt idx="17">
                  <c:v>7.4786417820646892E-2</c:v>
                </c:pt>
              </c:numCache>
            </c:numRef>
          </c:val>
          <c:smooth val="0"/>
        </c:ser>
        <c:dLbls>
          <c:showLegendKey val="0"/>
          <c:showVal val="0"/>
          <c:showCatName val="0"/>
          <c:showSerName val="0"/>
          <c:showPercent val="0"/>
          <c:showBubbleSize val="0"/>
        </c:dLbls>
        <c:marker val="1"/>
        <c:smooth val="0"/>
        <c:axId val="189934048"/>
        <c:axId val="189934608"/>
      </c:lineChart>
      <c:dateAx>
        <c:axId val="137806208"/>
        <c:scaling>
          <c:orientation val="minMax"/>
        </c:scaling>
        <c:delete val="0"/>
        <c:axPos val="b"/>
        <c:numFmt formatCode="d/mmm" sourceLinked="0"/>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is-IS"/>
          </a:p>
        </c:txPr>
        <c:crossAx val="137806768"/>
        <c:crosses val="autoZero"/>
        <c:auto val="1"/>
        <c:lblOffset val="100"/>
        <c:baseTimeUnit val="days"/>
        <c:majorUnit val="83"/>
        <c:minorUnit val="83"/>
      </c:dateAx>
      <c:valAx>
        <c:axId val="137806768"/>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ln w="6350">
            <a:noFill/>
          </a:ln>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is-IS"/>
          </a:p>
        </c:txPr>
        <c:crossAx val="137806208"/>
        <c:crosses val="autoZero"/>
        <c:crossBetween val="between"/>
      </c:valAx>
      <c:dateAx>
        <c:axId val="189934048"/>
        <c:scaling>
          <c:orientation val="minMax"/>
        </c:scaling>
        <c:delete val="1"/>
        <c:axPos val="b"/>
        <c:numFmt formatCode="d\-mmm" sourceLinked="1"/>
        <c:majorTickMark val="out"/>
        <c:minorTickMark val="none"/>
        <c:tickLblPos val="nextTo"/>
        <c:crossAx val="189934608"/>
        <c:crosses val="autoZero"/>
        <c:auto val="1"/>
        <c:lblOffset val="100"/>
        <c:baseTimeUnit val="days"/>
      </c:dateAx>
      <c:valAx>
        <c:axId val="189934608"/>
        <c:scaling>
          <c:orientation val="minMax"/>
        </c:scaling>
        <c:delete val="0"/>
        <c:axPos val="r"/>
        <c:numFmt formatCode="0.000" sourceLinked="1"/>
        <c:majorTickMark val="out"/>
        <c:minorTickMark val="none"/>
        <c:tickLblPos val="nextTo"/>
        <c:spPr>
          <a:ln w="6350">
            <a:noFill/>
          </a:ln>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is-IS"/>
          </a:p>
        </c:txPr>
        <c:crossAx val="189934048"/>
        <c:crosses val="max"/>
        <c:crossBetween val="between"/>
      </c:valAx>
      <c:spPr>
        <a:noFill/>
        <a:ln w="25400">
          <a:noFill/>
        </a:ln>
      </c:spPr>
    </c:plotArea>
    <c:legend>
      <c:legendPos val="r"/>
      <c:layout>
        <c:manualLayout>
          <c:xMode val="edge"/>
          <c:yMode val="edge"/>
          <c:x val="8.6497356651643278E-2"/>
          <c:y val="0.91145781742438725"/>
          <c:w val="0.82400113441828604"/>
          <c:h val="6.285915982237153E-2"/>
        </c:manualLayout>
      </c:layout>
      <c:overlay val="0"/>
      <c:spPr>
        <a:noFill/>
        <a:ln w="25400">
          <a:noFill/>
        </a:ln>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s-IS"/>
    </a:p>
  </c:txPr>
  <c:printSettings>
    <c:headerFooter alignWithMargins="0"/>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635014104793248E-2"/>
          <c:y val="3.4285714285714287E-2"/>
          <c:w val="0.85464574886704092"/>
          <c:h val="0.87733993250843645"/>
        </c:manualLayout>
      </c:layout>
      <c:lineChart>
        <c:grouping val="standard"/>
        <c:varyColors val="0"/>
        <c:ser>
          <c:idx val="4"/>
          <c:order val="0"/>
          <c:tx>
            <c:strRef>
              <c:f>Eldgja!$G$5</c:f>
              <c:strCache>
                <c:ptCount val="1"/>
                <c:pt idx="0">
                  <c:v>Lava total km³</c:v>
                </c:pt>
              </c:strCache>
            </c:strRef>
          </c:tx>
          <c:spPr>
            <a:ln w="28575" cap="rnd">
              <a:solidFill>
                <a:schemeClr val="accent5"/>
              </a:solidFill>
              <a:round/>
            </a:ln>
            <a:effectLst/>
          </c:spPr>
          <c:marker>
            <c:symbol val="none"/>
          </c:marker>
          <c:cat>
            <c:numRef>
              <c:f>Eldgja!$B$6:$B$23</c:f>
              <c:numCache>
                <c:formatCode>d\-mmm</c:formatCode>
                <c:ptCount val="18"/>
                <c:pt idx="0">
                  <c:v>41867</c:v>
                </c:pt>
                <c:pt idx="1">
                  <c:v>41880</c:v>
                </c:pt>
                <c:pt idx="2">
                  <c:v>41883</c:v>
                </c:pt>
                <c:pt idx="3">
                  <c:v>41895</c:v>
                </c:pt>
                <c:pt idx="4">
                  <c:v>41902</c:v>
                </c:pt>
                <c:pt idx="5">
                  <c:v>41908</c:v>
                </c:pt>
                <c:pt idx="6">
                  <c:v>41919</c:v>
                </c:pt>
                <c:pt idx="7">
                  <c:v>41922</c:v>
                </c:pt>
                <c:pt idx="8">
                  <c:v>41929</c:v>
                </c:pt>
                <c:pt idx="9">
                  <c:v>41931</c:v>
                </c:pt>
                <c:pt idx="10">
                  <c:v>41935</c:v>
                </c:pt>
                <c:pt idx="11">
                  <c:v>41936</c:v>
                </c:pt>
                <c:pt idx="12">
                  <c:v>41939</c:v>
                </c:pt>
                <c:pt idx="13">
                  <c:v>41940</c:v>
                </c:pt>
                <c:pt idx="14">
                  <c:v>41956</c:v>
                </c:pt>
                <c:pt idx="15">
                  <c:v>41968</c:v>
                </c:pt>
                <c:pt idx="16">
                  <c:v>41975</c:v>
                </c:pt>
                <c:pt idx="17" formatCode="m/d/yyyy">
                  <c:v>43951</c:v>
                </c:pt>
              </c:numCache>
            </c:numRef>
          </c:cat>
          <c:val>
            <c:numRef>
              <c:f>Eldgja!$G$6:$G$23</c:f>
              <c:numCache>
                <c:formatCode>0.000</c:formatCode>
                <c:ptCount val="18"/>
                <c:pt idx="0">
                  <c:v>0</c:v>
                </c:pt>
                <c:pt idx="1">
                  <c:v>0</c:v>
                </c:pt>
                <c:pt idx="2">
                  <c:v>3.6240000000000001E-2</c:v>
                </c:pt>
                <c:pt idx="3">
                  <c:v>0.34620000000000001</c:v>
                </c:pt>
                <c:pt idx="4">
                  <c:v>0.5985826530612246</c:v>
                </c:pt>
                <c:pt idx="5">
                  <c:v>0.75869560176503048</c:v>
                </c:pt>
                <c:pt idx="6">
                  <c:v>0.9863011786269601</c:v>
                </c:pt>
                <c:pt idx="7">
                  <c:v>1.0305723813140168</c:v>
                </c:pt>
                <c:pt idx="8">
                  <c:v>1.1134581667823324</c:v>
                </c:pt>
                <c:pt idx="9">
                  <c:v>1.1507607892514795</c:v>
                </c:pt>
                <c:pt idx="10">
                  <c:v>1.2083025753351433</c:v>
                </c:pt>
                <c:pt idx="11">
                  <c:v>1.2284941001013037</c:v>
                </c:pt>
                <c:pt idx="12">
                  <c:v>1.248746414836116</c:v>
                </c:pt>
                <c:pt idx="13">
                  <c:v>1.2589025907793738</c:v>
                </c:pt>
                <c:pt idx="14">
                  <c:v>1.434353942723646</c:v>
                </c:pt>
                <c:pt idx="15">
                  <c:v>1.4915743804704054</c:v>
                </c:pt>
                <c:pt idx="16">
                  <c:v>1.5494525321686459</c:v>
                </c:pt>
                <c:pt idx="17">
                  <c:v>17.997115445726543</c:v>
                </c:pt>
              </c:numCache>
            </c:numRef>
          </c:val>
          <c:smooth val="0"/>
        </c:ser>
        <c:dLbls>
          <c:showLegendKey val="0"/>
          <c:showVal val="0"/>
          <c:showCatName val="0"/>
          <c:showSerName val="0"/>
          <c:showPercent val="0"/>
          <c:showBubbleSize val="0"/>
        </c:dLbls>
        <c:marker val="1"/>
        <c:smooth val="0"/>
        <c:axId val="189937968"/>
        <c:axId val="189938528"/>
      </c:lineChart>
      <c:lineChart>
        <c:grouping val="standard"/>
        <c:varyColors val="0"/>
        <c:ser>
          <c:idx val="5"/>
          <c:order val="1"/>
          <c:tx>
            <c:strRef>
              <c:f>Eldgja!$H$5</c:f>
              <c:strCache>
                <c:ptCount val="1"/>
                <c:pt idx="0">
                  <c:v>24 hour flow km³</c:v>
                </c:pt>
              </c:strCache>
            </c:strRef>
          </c:tx>
          <c:spPr>
            <a:ln w="28575" cap="rnd">
              <a:solidFill>
                <a:schemeClr val="accent6"/>
              </a:solidFill>
              <a:round/>
            </a:ln>
            <a:effectLst/>
          </c:spPr>
          <c:marker>
            <c:symbol val="none"/>
          </c:marker>
          <c:trendline>
            <c:spPr>
              <a:ln w="19050" cap="rnd">
                <a:solidFill>
                  <a:schemeClr val="accent6"/>
                </a:solidFill>
                <a:prstDash val="sysDot"/>
              </a:ln>
              <a:effectLst/>
            </c:spPr>
            <c:trendlineType val="movingAvg"/>
            <c:period val="3"/>
            <c:dispRSqr val="0"/>
            <c:dispEq val="0"/>
          </c:trendline>
          <c:cat>
            <c:numRef>
              <c:f>Eldgja!$B$6:$B$23</c:f>
              <c:numCache>
                <c:formatCode>d\-mmm</c:formatCode>
                <c:ptCount val="18"/>
                <c:pt idx="0">
                  <c:v>41867</c:v>
                </c:pt>
                <c:pt idx="1">
                  <c:v>41880</c:v>
                </c:pt>
                <c:pt idx="2">
                  <c:v>41883</c:v>
                </c:pt>
                <c:pt idx="3">
                  <c:v>41895</c:v>
                </c:pt>
                <c:pt idx="4">
                  <c:v>41902</c:v>
                </c:pt>
                <c:pt idx="5">
                  <c:v>41908</c:v>
                </c:pt>
                <c:pt idx="6">
                  <c:v>41919</c:v>
                </c:pt>
                <c:pt idx="7">
                  <c:v>41922</c:v>
                </c:pt>
                <c:pt idx="8">
                  <c:v>41929</c:v>
                </c:pt>
                <c:pt idx="9">
                  <c:v>41931</c:v>
                </c:pt>
                <c:pt idx="10">
                  <c:v>41935</c:v>
                </c:pt>
                <c:pt idx="11">
                  <c:v>41936</c:v>
                </c:pt>
                <c:pt idx="12">
                  <c:v>41939</c:v>
                </c:pt>
                <c:pt idx="13">
                  <c:v>41940</c:v>
                </c:pt>
                <c:pt idx="14">
                  <c:v>41956</c:v>
                </c:pt>
                <c:pt idx="15">
                  <c:v>41968</c:v>
                </c:pt>
                <c:pt idx="16">
                  <c:v>41975</c:v>
                </c:pt>
                <c:pt idx="17" formatCode="m/d/yyyy">
                  <c:v>43951</c:v>
                </c:pt>
              </c:numCache>
            </c:numRef>
          </c:cat>
          <c:val>
            <c:numRef>
              <c:f>Eldgja!$H$6:$H$23</c:f>
              <c:numCache>
                <c:formatCode>0.000</c:formatCode>
                <c:ptCount val="18"/>
                <c:pt idx="0">
                  <c:v>0</c:v>
                </c:pt>
                <c:pt idx="1">
                  <c:v>0</c:v>
                </c:pt>
                <c:pt idx="2">
                  <c:v>1.208E-2</c:v>
                </c:pt>
                <c:pt idx="3">
                  <c:v>2.5830000000000002E-2</c:v>
                </c:pt>
                <c:pt idx="4">
                  <c:v>3.6054664723032086E-2</c:v>
                </c:pt>
                <c:pt idx="5">
                  <c:v>2.6685491450634313E-2</c:v>
                </c:pt>
                <c:pt idx="6">
                  <c:v>2.0691416078357238E-2</c:v>
                </c:pt>
                <c:pt idx="7">
                  <c:v>1.4757067562352252E-2</c:v>
                </c:pt>
                <c:pt idx="8">
                  <c:v>1.1840826495473657E-2</c:v>
                </c:pt>
                <c:pt idx="9">
                  <c:v>1.8651311234573531E-2</c:v>
                </c:pt>
                <c:pt idx="10">
                  <c:v>1.4385446520915945E-2</c:v>
                </c:pt>
                <c:pt idx="11">
                  <c:v>2.0191524766160374E-2</c:v>
                </c:pt>
                <c:pt idx="12">
                  <c:v>6.7507715782707907E-3</c:v>
                </c:pt>
                <c:pt idx="13">
                  <c:v>1.0156175943257795E-2</c:v>
                </c:pt>
                <c:pt idx="14">
                  <c:v>1.0965709496517012E-2</c:v>
                </c:pt>
                <c:pt idx="15">
                  <c:v>4.7683698122299445E-3</c:v>
                </c:pt>
                <c:pt idx="16">
                  <c:v>8.2683073854629297E-3</c:v>
                </c:pt>
                <c:pt idx="17">
                  <c:v>8.3237160493714046E-3</c:v>
                </c:pt>
              </c:numCache>
            </c:numRef>
          </c:val>
          <c:smooth val="0"/>
        </c:ser>
        <c:dLbls>
          <c:showLegendKey val="0"/>
          <c:showVal val="0"/>
          <c:showCatName val="0"/>
          <c:showSerName val="0"/>
          <c:showPercent val="0"/>
          <c:showBubbleSize val="0"/>
        </c:dLbls>
        <c:marker val="1"/>
        <c:smooth val="0"/>
        <c:axId val="189939088"/>
        <c:axId val="189939648"/>
      </c:lineChart>
      <c:dateAx>
        <c:axId val="189937968"/>
        <c:scaling>
          <c:orientation val="minMax"/>
        </c:scaling>
        <c:delete val="0"/>
        <c:axPos val="b"/>
        <c:numFmt formatCode="d/mmm"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is-IS"/>
          </a:p>
        </c:txPr>
        <c:crossAx val="189938528"/>
        <c:crosses val="autoZero"/>
        <c:auto val="1"/>
        <c:lblOffset val="100"/>
        <c:baseTimeUnit val="days"/>
        <c:majorUnit val="83"/>
        <c:minorUnit val="83"/>
      </c:dateAx>
      <c:valAx>
        <c:axId val="189938528"/>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ln w="6350">
            <a:noFill/>
          </a:ln>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is-IS"/>
          </a:p>
        </c:txPr>
        <c:crossAx val="189937968"/>
        <c:crosses val="autoZero"/>
        <c:crossBetween val="between"/>
      </c:valAx>
      <c:dateAx>
        <c:axId val="189939088"/>
        <c:scaling>
          <c:orientation val="minMax"/>
        </c:scaling>
        <c:delete val="1"/>
        <c:axPos val="b"/>
        <c:numFmt formatCode="d\-mmm" sourceLinked="1"/>
        <c:majorTickMark val="out"/>
        <c:minorTickMark val="none"/>
        <c:tickLblPos val="nextTo"/>
        <c:crossAx val="189939648"/>
        <c:crosses val="autoZero"/>
        <c:auto val="1"/>
        <c:lblOffset val="100"/>
        <c:baseTimeUnit val="days"/>
      </c:dateAx>
      <c:valAx>
        <c:axId val="189939648"/>
        <c:scaling>
          <c:orientation val="minMax"/>
        </c:scaling>
        <c:delete val="0"/>
        <c:axPos val="r"/>
        <c:numFmt formatCode="0.000" sourceLinked="1"/>
        <c:majorTickMark val="out"/>
        <c:minorTickMark val="none"/>
        <c:tickLblPos val="nextTo"/>
        <c:spPr>
          <a:ln w="6350">
            <a:noFill/>
          </a:ln>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is-IS"/>
          </a:p>
        </c:txPr>
        <c:crossAx val="189939088"/>
        <c:crosses val="max"/>
        <c:crossBetween val="between"/>
      </c:valAx>
      <c:spPr>
        <a:noFill/>
        <a:ln w="25400">
          <a:noFill/>
        </a:ln>
      </c:spPr>
    </c:plotArea>
    <c:legend>
      <c:legendPos val="r"/>
      <c:layout>
        <c:manualLayout>
          <c:xMode val="edge"/>
          <c:yMode val="edge"/>
          <c:x val="8.219444318681593E-2"/>
          <c:y val="0.91145781742438725"/>
          <c:w val="0.82651078982298243"/>
          <c:h val="6.285915982237153E-2"/>
        </c:manualLayout>
      </c:layout>
      <c:overlay val="0"/>
      <c:spPr>
        <a:noFill/>
        <a:ln w="25400">
          <a:noFill/>
        </a:ln>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s-IS"/>
    </a:p>
  </c:txPr>
  <c:printSettings>
    <c:headerFooter alignWithMargins="0"/>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28575" cap="rnd">
              <a:solidFill>
                <a:srgbClr val="0070C0"/>
              </a:solidFill>
              <a:round/>
            </a:ln>
            <a:effectLst/>
          </c:spPr>
          <c:marker>
            <c:symbol val="none"/>
          </c:marker>
          <c:val>
            <c:numRef>
              <c:f>Eldgja!#REF!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Eldgja!#REF!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Eldgja!#REF!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189581632"/>
        <c:axId val="189582192"/>
      </c:lineChart>
      <c:lineChart>
        <c:grouping val="standard"/>
        <c:varyColors val="0"/>
        <c:ser>
          <c:idx val="5"/>
          <c:order val="1"/>
          <c:spPr>
            <a:ln w="28575" cap="rnd">
              <a:solidFill>
                <a:schemeClr val="accent6"/>
              </a:solidFill>
              <a:round/>
            </a:ln>
            <a:effectLst/>
          </c:spPr>
          <c:marker>
            <c:symbol val="none"/>
          </c:marker>
          <c:trendline>
            <c:spPr>
              <a:ln w="19050" cap="rnd">
                <a:solidFill>
                  <a:schemeClr val="accent6"/>
                </a:solidFill>
                <a:prstDash val="sysDot"/>
              </a:ln>
              <a:effectLst/>
            </c:spPr>
            <c:trendlineType val="movingAvg"/>
            <c:period val="3"/>
            <c:dispRSqr val="0"/>
            <c:dispEq val="0"/>
          </c:trendline>
          <c:val>
            <c:numRef>
              <c:f>Eldgja!#REF!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Eldgja!#REF!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Eldgja!#REF!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189582752"/>
        <c:axId val="189583312"/>
      </c:lineChart>
      <c:catAx>
        <c:axId val="189581632"/>
        <c:scaling>
          <c:orientation val="minMax"/>
        </c:scaling>
        <c:delete val="0"/>
        <c:axPos val="b"/>
        <c:numFmt formatCode="d/mmm" sourceLinked="0"/>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is-IS"/>
          </a:p>
        </c:txPr>
        <c:crossAx val="189582192"/>
        <c:crosses val="autoZero"/>
        <c:auto val="1"/>
        <c:lblAlgn val="ctr"/>
        <c:lblOffset val="100"/>
        <c:tickLblSkip val="1"/>
        <c:tickMarkSkip val="1"/>
        <c:noMultiLvlLbl val="0"/>
      </c:catAx>
      <c:valAx>
        <c:axId val="1895821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is-IS"/>
          </a:p>
        </c:txPr>
        <c:crossAx val="189581632"/>
        <c:crosses val="autoZero"/>
        <c:crossBetween val="between"/>
      </c:valAx>
      <c:catAx>
        <c:axId val="189582752"/>
        <c:scaling>
          <c:orientation val="minMax"/>
        </c:scaling>
        <c:delete val="1"/>
        <c:axPos val="b"/>
        <c:numFmt formatCode="General" sourceLinked="1"/>
        <c:majorTickMark val="out"/>
        <c:minorTickMark val="none"/>
        <c:tickLblPos val="nextTo"/>
        <c:crossAx val="189583312"/>
        <c:crosses val="autoZero"/>
        <c:auto val="1"/>
        <c:lblAlgn val="ctr"/>
        <c:lblOffset val="100"/>
        <c:noMultiLvlLbl val="0"/>
      </c:catAx>
      <c:valAx>
        <c:axId val="189583312"/>
        <c:scaling>
          <c:orientation val="minMax"/>
        </c:scaling>
        <c:delete val="0"/>
        <c:axPos val="r"/>
        <c:numFmt formatCode="General" sourceLinked="1"/>
        <c:majorTickMark val="out"/>
        <c:minorTickMark val="none"/>
        <c:tickLblPos val="nextTo"/>
        <c:spPr>
          <a:ln w="6350">
            <a:noFill/>
          </a:ln>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is-IS"/>
          </a:p>
        </c:txPr>
        <c:crossAx val="189582752"/>
        <c:crosses val="max"/>
        <c:crossBetween val="between"/>
      </c:valAx>
      <c:spPr>
        <a:noFill/>
        <a:ln w="25400">
          <a:noFill/>
        </a:ln>
      </c:spPr>
    </c:plotArea>
    <c:legend>
      <c:legendPos val="r"/>
      <c:overlay val="0"/>
      <c:spPr>
        <a:noFill/>
        <a:ln w="25400">
          <a:noFill/>
        </a:ln>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s-IS"/>
    </a:p>
  </c:txPr>
  <c:printSettings>
    <c:headerFooter alignWithMargins="0"/>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8</xdr:col>
      <xdr:colOff>77259</xdr:colOff>
      <xdr:row>3</xdr:row>
      <xdr:rowOff>17992</xdr:rowOff>
    </xdr:from>
    <xdr:to>
      <xdr:col>17</xdr:col>
      <xdr:colOff>455084</xdr:colOff>
      <xdr:row>15</xdr:row>
      <xdr:rowOff>116416</xdr:rowOff>
    </xdr:to>
    <xdr:graphicFrame macro="">
      <xdr:nvGraphicFramePr>
        <xdr:cNvPr id="102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66675</xdr:colOff>
      <xdr:row>33</xdr:row>
      <xdr:rowOff>28575</xdr:rowOff>
    </xdr:from>
    <xdr:to>
      <xdr:col>17</xdr:col>
      <xdr:colOff>361950</xdr:colOff>
      <xdr:row>49</xdr:row>
      <xdr:rowOff>123825</xdr:rowOff>
    </xdr:to>
    <xdr:graphicFrame macro="">
      <xdr:nvGraphicFramePr>
        <xdr:cNvPr id="102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10</xdr:col>
      <xdr:colOff>397751</xdr:colOff>
      <xdr:row>42</xdr:row>
      <xdr:rowOff>187481</xdr:rowOff>
    </xdr:from>
    <xdr:ext cx="3809454" cy="636695"/>
    <xdr:sp macro="" textlink="">
      <xdr:nvSpPr>
        <xdr:cNvPr id="8" name="TextBox 7"/>
        <xdr:cNvSpPr txBox="1"/>
      </xdr:nvSpPr>
      <xdr:spPr>
        <a:xfrm>
          <a:off x="6705418" y="8378981"/>
          <a:ext cx="3809454" cy="6366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is-IS" sz="1100"/>
            <a:t>Subsidence is  0.25 km ^ 3 when the eruption begins. Material</a:t>
          </a:r>
        </a:p>
        <a:p>
          <a:pPr algn="ctr"/>
          <a:r>
            <a:rPr lang="is-IS" sz="1100"/>
            <a:t>missing in the dyke is estimated more than 0.5 km ^ 3</a:t>
          </a:r>
        </a:p>
        <a:p>
          <a:pPr algn="ctr"/>
          <a:r>
            <a:rPr lang="is-IS" sz="1100"/>
            <a:t>  even 1.5 km ^ 3</a:t>
          </a:r>
        </a:p>
      </xdr:txBody>
    </xdr:sp>
    <xdr:clientData/>
  </xdr:oneCellAnchor>
  <xdr:twoCellAnchor>
    <xdr:from>
      <xdr:col>9</xdr:col>
      <xdr:colOff>576980</xdr:colOff>
      <xdr:row>44</xdr:row>
      <xdr:rowOff>60354</xdr:rowOff>
    </xdr:from>
    <xdr:to>
      <xdr:col>10</xdr:col>
      <xdr:colOff>467412</xdr:colOff>
      <xdr:row>44</xdr:row>
      <xdr:rowOff>127590</xdr:rowOff>
    </xdr:to>
    <xdr:cxnSp macro="">
      <xdr:nvCxnSpPr>
        <xdr:cNvPr id="10" name="Straight Arrow Connector 9"/>
        <xdr:cNvCxnSpPr/>
      </xdr:nvCxnSpPr>
      <xdr:spPr>
        <a:xfrm flipH="1">
          <a:off x="6270813" y="8632854"/>
          <a:ext cx="504266" cy="6723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438052</xdr:colOff>
      <xdr:row>1</xdr:row>
      <xdr:rowOff>314325</xdr:rowOff>
    </xdr:from>
    <xdr:ext cx="194453" cy="264560"/>
    <xdr:sp macro="" textlink="">
      <xdr:nvSpPr>
        <xdr:cNvPr id="15" name="TextBox 14"/>
        <xdr:cNvSpPr txBox="1"/>
      </xdr:nvSpPr>
      <xdr:spPr>
        <a:xfrm>
          <a:off x="7753252" y="504825"/>
          <a:ext cx="18473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endParaRPr lang="is-IS" sz="1100"/>
        </a:p>
      </xdr:txBody>
    </xdr:sp>
    <xdr:clientData/>
  </xdr:oneCellAnchor>
  <xdr:twoCellAnchor>
    <xdr:from>
      <xdr:col>9</xdr:col>
      <xdr:colOff>576980</xdr:colOff>
      <xdr:row>45</xdr:row>
      <xdr:rowOff>60354</xdr:rowOff>
    </xdr:from>
    <xdr:to>
      <xdr:col>10</xdr:col>
      <xdr:colOff>467412</xdr:colOff>
      <xdr:row>45</xdr:row>
      <xdr:rowOff>127590</xdr:rowOff>
    </xdr:to>
    <xdr:cxnSp macro="">
      <xdr:nvCxnSpPr>
        <xdr:cNvPr id="7" name="Straight Arrow Connector 6"/>
        <xdr:cNvCxnSpPr/>
      </xdr:nvCxnSpPr>
      <xdr:spPr>
        <a:xfrm flipH="1">
          <a:off x="6270813" y="9775854"/>
          <a:ext cx="504266" cy="6723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66675</xdr:colOff>
      <xdr:row>4</xdr:row>
      <xdr:rowOff>28575</xdr:rowOff>
    </xdr:from>
    <xdr:to>
      <xdr:col>17</xdr:col>
      <xdr:colOff>381000</xdr:colOff>
      <xdr:row>19</xdr:row>
      <xdr:rowOff>123825</xdr:rowOff>
    </xdr:to>
    <xdr:graphicFrame macro="">
      <xdr:nvGraphicFramePr>
        <xdr:cNvPr id="716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438052</xdr:colOff>
      <xdr:row>2</xdr:row>
      <xdr:rowOff>0</xdr:rowOff>
    </xdr:from>
    <xdr:ext cx="194453" cy="264560"/>
    <xdr:sp macro="" textlink="">
      <xdr:nvSpPr>
        <xdr:cNvPr id="15" name="TextBox 14"/>
        <xdr:cNvSpPr txBox="1"/>
      </xdr:nvSpPr>
      <xdr:spPr>
        <a:xfrm>
          <a:off x="7753252" y="504825"/>
          <a:ext cx="18473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endParaRPr lang="is-I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8</xdr:col>
      <xdr:colOff>66675</xdr:colOff>
      <xdr:row>4</xdr:row>
      <xdr:rowOff>28575</xdr:rowOff>
    </xdr:from>
    <xdr:to>
      <xdr:col>17</xdr:col>
      <xdr:colOff>381000</xdr:colOff>
      <xdr:row>19</xdr:row>
      <xdr:rowOff>123825</xdr:rowOff>
    </xdr:to>
    <xdr:graphicFrame macro="">
      <xdr:nvGraphicFramePr>
        <xdr:cNvPr id="1024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66675</xdr:colOff>
      <xdr:row>26</xdr:row>
      <xdr:rowOff>0</xdr:rowOff>
    </xdr:from>
    <xdr:to>
      <xdr:col>17</xdr:col>
      <xdr:colOff>361950</xdr:colOff>
      <xdr:row>26</xdr:row>
      <xdr:rowOff>0</xdr:rowOff>
    </xdr:to>
    <xdr:graphicFrame macro="">
      <xdr:nvGraphicFramePr>
        <xdr:cNvPr id="1024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12</xdr:col>
      <xdr:colOff>438052</xdr:colOff>
      <xdr:row>3</xdr:row>
      <xdr:rowOff>0</xdr:rowOff>
    </xdr:from>
    <xdr:ext cx="194453" cy="264560"/>
    <xdr:sp macro="" textlink="">
      <xdr:nvSpPr>
        <xdr:cNvPr id="15" name="TextBox 14"/>
        <xdr:cNvSpPr txBox="1"/>
      </xdr:nvSpPr>
      <xdr:spPr>
        <a:xfrm>
          <a:off x="7753252" y="504825"/>
          <a:ext cx="18473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endParaRPr lang="is-I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56"/>
  <sheetViews>
    <sheetView showGridLines="0" tabSelected="1" topLeftCell="A16" zoomScale="90" zoomScaleNormal="90" workbookViewId="0">
      <selection activeCell="H29" sqref="H29"/>
    </sheetView>
  </sheetViews>
  <sheetFormatPr defaultRowHeight="15" x14ac:dyDescent="0.25"/>
  <cols>
    <col min="1" max="1" width="7" customWidth="1"/>
    <col min="2" max="2" width="12.28515625" customWidth="1"/>
    <col min="3" max="3" width="6.42578125" customWidth="1"/>
    <col min="4" max="4" width="8.140625" customWidth="1"/>
    <col min="5" max="5" width="10.28515625" bestFit="1" customWidth="1"/>
    <col min="6" max="6" width="10.28515625" customWidth="1"/>
    <col min="7" max="7" width="10" bestFit="1" customWidth="1"/>
    <col min="8" max="8" width="11.7109375" customWidth="1"/>
    <col min="12" max="12" width="11.7109375" customWidth="1"/>
    <col min="13" max="13" width="9.85546875" customWidth="1"/>
    <col min="14" max="14" width="11" customWidth="1"/>
    <col min="16" max="16" width="11.7109375" customWidth="1"/>
    <col min="17" max="17" width="12.42578125" bestFit="1" customWidth="1"/>
    <col min="18" max="18" width="10.7109375" bestFit="1" customWidth="1"/>
    <col min="19" max="19" width="13" bestFit="1" customWidth="1"/>
  </cols>
  <sheetData>
    <row r="2" spans="2:17" ht="53.25" customHeight="1" thickBot="1" x14ac:dyDescent="0.3">
      <c r="B2" s="66" t="s">
        <v>56</v>
      </c>
      <c r="C2" s="66"/>
      <c r="D2" s="66"/>
      <c r="E2" s="66"/>
      <c r="F2" s="66"/>
      <c r="G2" s="66"/>
      <c r="H2" s="66"/>
      <c r="I2" s="67"/>
      <c r="J2" s="67"/>
      <c r="K2" s="67"/>
      <c r="L2" s="67"/>
      <c r="M2" s="67"/>
      <c r="N2" s="67"/>
      <c r="O2" s="67"/>
      <c r="P2" s="67"/>
      <c r="Q2" s="67"/>
    </row>
    <row r="3" spans="2:17" ht="15" customHeight="1" x14ac:dyDescent="0.25">
      <c r="B3" s="65" t="s">
        <v>28</v>
      </c>
      <c r="C3" s="65"/>
      <c r="D3" s="68"/>
      <c r="E3" s="40" t="s">
        <v>31</v>
      </c>
      <c r="F3" s="25"/>
      <c r="G3" s="25"/>
      <c r="H3" s="62">
        <f ca="1">Q19</f>
        <v>3.4034629062609546E-3</v>
      </c>
      <c r="J3" t="s">
        <v>7</v>
      </c>
    </row>
    <row r="4" spans="2:17" ht="15.75" thickBot="1" x14ac:dyDescent="0.3">
      <c r="B4" s="69"/>
      <c r="C4" s="69"/>
      <c r="D4" s="69"/>
      <c r="E4" s="42" t="s">
        <v>32</v>
      </c>
      <c r="F4" s="58"/>
      <c r="G4" s="58"/>
      <c r="H4" s="59">
        <f ca="1">O19</f>
        <v>2.8551897044541406E-3</v>
      </c>
    </row>
    <row r="5" spans="2:17" ht="45" x14ac:dyDescent="0.25">
      <c r="B5" s="7" t="s">
        <v>6</v>
      </c>
      <c r="C5" s="2" t="s">
        <v>5</v>
      </c>
      <c r="D5" s="2" t="s">
        <v>4</v>
      </c>
      <c r="E5" s="56" t="s">
        <v>11</v>
      </c>
      <c r="F5" s="56" t="s">
        <v>14</v>
      </c>
      <c r="G5" s="56" t="s">
        <v>15</v>
      </c>
      <c r="H5" s="57" t="s">
        <v>16</v>
      </c>
      <c r="I5" s="1"/>
    </row>
    <row r="6" spans="2:17" x14ac:dyDescent="0.25">
      <c r="B6" s="8">
        <v>41867</v>
      </c>
      <c r="C6" s="9"/>
      <c r="D6" s="4">
        <v>0</v>
      </c>
      <c r="E6" s="11">
        <v>0</v>
      </c>
      <c r="F6" s="4"/>
      <c r="G6" s="5">
        <f>E6*D6</f>
        <v>0</v>
      </c>
      <c r="H6" s="6">
        <f>G6/14</f>
        <v>0</v>
      </c>
    </row>
    <row r="7" spans="2:17" x14ac:dyDescent="0.25">
      <c r="B7" s="8">
        <v>41880</v>
      </c>
      <c r="C7" s="9"/>
      <c r="D7" s="4">
        <v>0</v>
      </c>
      <c r="E7" s="11">
        <f ca="1">H3</f>
        <v>3.4034629062609546E-3</v>
      </c>
      <c r="F7" s="4"/>
      <c r="G7" s="5">
        <f t="shared" ref="G7:G12" ca="1" si="0">E7*D7</f>
        <v>0</v>
      </c>
      <c r="H7" s="6">
        <f ca="1">G7/14</f>
        <v>0</v>
      </c>
    </row>
    <row r="8" spans="2:17" x14ac:dyDescent="0.25">
      <c r="B8" s="8">
        <v>41883</v>
      </c>
      <c r="C8" s="9">
        <f t="shared" ref="C8:C13" si="1">B8-B7</f>
        <v>3</v>
      </c>
      <c r="D8" s="4">
        <v>4</v>
      </c>
      <c r="E8" s="11">
        <f ca="1">E7+((D8-D7)*(H4/(D8^1/2)))</f>
        <v>9.1138423151692349E-3</v>
      </c>
      <c r="F8" s="5">
        <f t="shared" ref="F8:F13" ca="1" si="2">G8-G7</f>
        <v>3.6455369271992978E-2</v>
      </c>
      <c r="G8" s="5">
        <f t="shared" ca="1" si="0"/>
        <v>3.645536926067694E-2</v>
      </c>
      <c r="H8" s="6">
        <f t="shared" ref="H8:H29" ca="1" si="3">F8/C8</f>
        <v>1.2151789757330993E-2</v>
      </c>
    </row>
    <row r="9" spans="2:17" x14ac:dyDescent="0.25">
      <c r="B9" s="8">
        <v>41895</v>
      </c>
      <c r="C9" s="9">
        <f t="shared" si="1"/>
        <v>12</v>
      </c>
      <c r="D9" s="4">
        <v>24.5</v>
      </c>
      <c r="E9" s="11">
        <f ca="1">E8+((D9-D8)*(H4/(D9^1/2)))</f>
        <v>1.3891914881806775E-2</v>
      </c>
      <c r="F9" s="5">
        <f t="shared" ca="1" si="2"/>
        <v>0.30389654503631602</v>
      </c>
      <c r="G9" s="5">
        <f t="shared" ca="1" si="0"/>
        <v>0.340351914604266</v>
      </c>
      <c r="H9" s="6">
        <f t="shared" ca="1" si="3"/>
        <v>2.5324712086359669E-2</v>
      </c>
    </row>
    <row r="10" spans="2:17" x14ac:dyDescent="0.25">
      <c r="B10" s="8">
        <v>41902</v>
      </c>
      <c r="C10" s="9">
        <f t="shared" si="1"/>
        <v>7</v>
      </c>
      <c r="D10" s="4">
        <v>37</v>
      </c>
      <c r="E10" s="11">
        <f ca="1">E9+((D10-D9)*(H4/(D10^1/2)))</f>
        <v>1.5821097114546059E-2</v>
      </c>
      <c r="F10" s="5">
        <f t="shared" ca="1" si="2"/>
        <v>0.245028677940269</v>
      </c>
      <c r="G10" s="5">
        <f t="shared" ca="1" si="0"/>
        <v>0.58538059323820424</v>
      </c>
      <c r="H10" s="6">
        <f t="shared" ca="1" si="3"/>
        <v>3.5004096848609854E-2</v>
      </c>
    </row>
    <row r="11" spans="2:17" x14ac:dyDescent="0.25">
      <c r="B11" s="8">
        <v>41908</v>
      </c>
      <c r="C11" s="9">
        <f t="shared" si="1"/>
        <v>6</v>
      </c>
      <c r="D11" s="4">
        <v>44.2</v>
      </c>
      <c r="E11" s="11">
        <f ca="1">E10+((D11-D10)*(H4/(D11^1/2)))</f>
        <v>1.675129466531845E-2</v>
      </c>
      <c r="F11" s="5">
        <f t="shared" ca="1" si="2"/>
        <v>0.15502663000795425</v>
      </c>
      <c r="G11" s="5">
        <f t="shared" ca="1" si="0"/>
        <v>0.7404072242070755</v>
      </c>
      <c r="H11" s="6">
        <f t="shared" ca="1" si="3"/>
        <v>2.5837771667992376E-2</v>
      </c>
    </row>
    <row r="12" spans="2:17" x14ac:dyDescent="0.25">
      <c r="B12" s="8">
        <v>41919</v>
      </c>
      <c r="C12" s="9">
        <f t="shared" si="1"/>
        <v>11</v>
      </c>
      <c r="D12" s="4">
        <v>54</v>
      </c>
      <c r="E12" s="11">
        <f ca="1">E11+((D12-D11)*(H4/(D12^1/2)))</f>
        <v>1.7787622780268471E-2</v>
      </c>
      <c r="F12" s="5">
        <f t="shared" ca="1" si="2"/>
        <v>0.22012440457342541</v>
      </c>
      <c r="G12" s="5">
        <f t="shared" ca="1" si="0"/>
        <v>0.96053163013449738</v>
      </c>
      <c r="H12" s="6">
        <f t="shared" ca="1" si="3"/>
        <v>2.0011309506675037E-2</v>
      </c>
    </row>
    <row r="13" spans="2:17" x14ac:dyDescent="0.25">
      <c r="B13" s="8">
        <v>41922</v>
      </c>
      <c r="C13" s="9">
        <f t="shared" si="1"/>
        <v>3</v>
      </c>
      <c r="D13" s="4">
        <v>55.82</v>
      </c>
      <c r="E13" s="11">
        <f ca="1">E12+((D13-D12)*(H4/(D13^1/2)))</f>
        <v>1.7973808565367237E-2</v>
      </c>
      <c r="F13" s="5">
        <f t="shared" ca="1" si="2"/>
        <v>4.2766362551237225E-2</v>
      </c>
      <c r="G13" s="5">
        <f t="shared" ref="G13:G29" ca="1" si="4">E13*D13</f>
        <v>1.0032979941187992</v>
      </c>
      <c r="H13" s="6">
        <f t="shared" ca="1" si="3"/>
        <v>1.4255454183745742E-2</v>
      </c>
    </row>
    <row r="14" spans="2:17" x14ac:dyDescent="0.25">
      <c r="B14" s="8">
        <v>41929</v>
      </c>
      <c r="C14" s="9">
        <f t="shared" ref="C14:C19" si="5">B14-B13</f>
        <v>7</v>
      </c>
      <c r="D14" s="4">
        <v>59.2</v>
      </c>
      <c r="E14" s="11">
        <f ca="1">E13+((D14-D13)*(H4/(D14^1/2)))</f>
        <v>1.8299840362700177E-2</v>
      </c>
      <c r="F14" s="5">
        <f t="shared" ref="F14:F19" ca="1" si="6">G14-G13</f>
        <v>8.0052553771121859E-2</v>
      </c>
      <c r="G14" s="5">
        <f t="shared" ca="1" si="4"/>
        <v>1.0833505494718505</v>
      </c>
      <c r="H14" s="6">
        <f t="shared" ca="1" si="3"/>
        <v>1.1436079110160266E-2</v>
      </c>
    </row>
    <row r="15" spans="2:17" x14ac:dyDescent="0.25">
      <c r="B15" s="8">
        <v>41931</v>
      </c>
      <c r="C15" s="9">
        <f t="shared" si="5"/>
        <v>2</v>
      </c>
      <c r="D15" s="4">
        <v>60.7</v>
      </c>
      <c r="E15" s="11">
        <f ca="1">E14+((D15-D14)*(H4/(D15^1/2)))</f>
        <v>1.844095352766496E-2</v>
      </c>
      <c r="F15" s="5">
        <f t="shared" ca="1" si="6"/>
        <v>3.6015328007845682E-2</v>
      </c>
      <c r="G15" s="5">
        <f t="shared" ca="1" si="4"/>
        <v>1.1193658791292631</v>
      </c>
      <c r="H15" s="6">
        <f t="shared" ca="1" si="3"/>
        <v>1.8007664003922841E-2</v>
      </c>
    </row>
    <row r="16" spans="2:17" x14ac:dyDescent="0.25">
      <c r="B16" s="8">
        <v>41935</v>
      </c>
      <c r="C16" s="9">
        <f t="shared" si="5"/>
        <v>4</v>
      </c>
      <c r="D16" s="4">
        <v>63</v>
      </c>
      <c r="E16" s="11">
        <f ca="1">E15+((D16-D15)*(H4/(D16^1/2)))</f>
        <v>1.864942769656161E-2</v>
      </c>
      <c r="F16" s="5">
        <f t="shared" ca="1" si="6"/>
        <v>5.5548063999796504E-2</v>
      </c>
      <c r="G16" s="5">
        <f t="shared" ca="1" si="4"/>
        <v>1.1749139448833814</v>
      </c>
      <c r="H16" s="6">
        <f t="shared" ca="1" si="3"/>
        <v>1.3887015999949126E-2</v>
      </c>
    </row>
    <row r="17" spans="2:17" x14ac:dyDescent="0.25">
      <c r="B17" s="8">
        <v>41936</v>
      </c>
      <c r="C17" s="9">
        <f t="shared" si="5"/>
        <v>1</v>
      </c>
      <c r="D17" s="4">
        <v>63.8</v>
      </c>
      <c r="E17" s="11">
        <f ca="1">E16+((D17-D16)*(H4/(D17^1/2)))</f>
        <v>1.8721031200121589E-2</v>
      </c>
      <c r="F17" s="5">
        <f t="shared" ca="1" si="6"/>
        <v>1.9487843893081003E-2</v>
      </c>
      <c r="G17" s="5">
        <f t="shared" ca="1" si="4"/>
        <v>1.1944017905677573</v>
      </c>
      <c r="H17" s="6">
        <f t="shared" ca="1" si="3"/>
        <v>1.9487843893081003E-2</v>
      </c>
    </row>
    <row r="18" spans="2:17" x14ac:dyDescent="0.25">
      <c r="B18" s="8">
        <v>41939</v>
      </c>
      <c r="C18" s="9">
        <f t="shared" si="5"/>
        <v>3</v>
      </c>
      <c r="D18" s="4">
        <f>63.8+0.8</f>
        <v>64.599999999999994</v>
      </c>
      <c r="E18" s="11">
        <f ca="1">E17+((D18-D17)*(H4/(D18^1/2)))</f>
        <v>1.8791747972987327E-2</v>
      </c>
      <c r="F18" s="5">
        <f t="shared" ca="1" si="6"/>
        <v>1.9545126658771839E-2</v>
      </c>
      <c r="G18" s="5">
        <f t="shared" ca="1" si="4"/>
        <v>1.2139469190549812</v>
      </c>
      <c r="H18" s="6">
        <f t="shared" ca="1" si="3"/>
        <v>6.5150422195906126E-3</v>
      </c>
      <c r="K18" s="37"/>
      <c r="L18" s="37" t="s">
        <v>27</v>
      </c>
      <c r="M18" s="4" t="s">
        <v>22</v>
      </c>
      <c r="N18" s="4" t="s">
        <v>23</v>
      </c>
      <c r="O18" s="37" t="s">
        <v>30</v>
      </c>
      <c r="P18" s="53" t="s">
        <v>29</v>
      </c>
      <c r="Q18" s="53" t="s">
        <v>39</v>
      </c>
    </row>
    <row r="19" spans="2:17" x14ac:dyDescent="0.25">
      <c r="B19" s="8">
        <v>41940</v>
      </c>
      <c r="C19" s="9">
        <f t="shared" si="5"/>
        <v>1</v>
      </c>
      <c r="D19" s="4">
        <v>65</v>
      </c>
      <c r="E19" s="11">
        <f ca="1">E18+((D19-D18)*(H4/(D19^1/2)))</f>
        <v>1.8826888769349841E-2</v>
      </c>
      <c r="F19" s="5">
        <f t="shared" ca="1" si="6"/>
        <v>9.800849105636722E-3</v>
      </c>
      <c r="G19" s="5">
        <f t="shared" ca="1" si="4"/>
        <v>1.2237477700077397</v>
      </c>
      <c r="H19" s="6">
        <f t="shared" ca="1" si="3"/>
        <v>9.800849105636722E-3</v>
      </c>
      <c r="J19" s="37" t="s">
        <v>28</v>
      </c>
      <c r="L19" s="48">
        <f ca="1">(G29*1000*1000*1000/(3600*24))/C30</f>
        <v>115.63090542813906</v>
      </c>
      <c r="M19" s="51">
        <f ca="1">D29</f>
        <v>85.815686274509801</v>
      </c>
      <c r="N19" s="60">
        <f ca="1">G29</f>
        <v>1.7483392900734627</v>
      </c>
      <c r="O19" s="50">
        <f ca="1">O20+((O21-O20)-((O21-O20)*(1/(L20/L19))))</f>
        <v>2.8551897014936082E-3</v>
      </c>
      <c r="P19" s="48">
        <f ca="1">((H12+H11+H10+H9)/4)*1000*1000*1000/(3600*24)</f>
        <v>307.22769128945873</v>
      </c>
      <c r="Q19" s="50">
        <f ca="1">Q20+((Q21-Q20)-((Q21-Q20)*(1/(N20/N19))))</f>
        <v>3.403462913093876E-3</v>
      </c>
    </row>
    <row r="20" spans="2:17" x14ac:dyDescent="0.25">
      <c r="B20" s="8">
        <v>41956</v>
      </c>
      <c r="C20" s="9">
        <f t="shared" ref="C20:C24" si="7">B20-B19</f>
        <v>16</v>
      </c>
      <c r="D20" s="4">
        <v>71.900000000000006</v>
      </c>
      <c r="E20" s="11">
        <f ca="1">E19+((D20-D19)*(H4/(D20^1/2)))</f>
        <v>1.9374894581887632E-2</v>
      </c>
      <c r="F20" s="5">
        <f t="shared" ref="F20:F24" ca="1" si="8">G20-G19</f>
        <v>0.16930714826002768</v>
      </c>
      <c r="G20" s="5">
        <f t="shared" ca="1" si="4"/>
        <v>1.3930549204377209</v>
      </c>
      <c r="H20" s="6">
        <f t="shared" ca="1" si="3"/>
        <v>1.058169676625173E-2</v>
      </c>
      <c r="J20" s="37" t="s">
        <v>49</v>
      </c>
      <c r="L20" s="48">
        <f>Laki!N23</f>
        <v>615.16251025815336</v>
      </c>
      <c r="M20" s="52">
        <v>580</v>
      </c>
      <c r="N20" s="61">
        <v>13</v>
      </c>
      <c r="O20" s="50">
        <f>Laki!H4</f>
        <v>2.0999999999999999E-3</v>
      </c>
      <c r="P20" s="54"/>
      <c r="Q20">
        <f>Laki!E7</f>
        <v>6.0000000000000001E-3</v>
      </c>
    </row>
    <row r="21" spans="2:17" x14ac:dyDescent="0.25">
      <c r="B21" s="8">
        <v>41968</v>
      </c>
      <c r="C21" s="9">
        <f t="shared" si="7"/>
        <v>12</v>
      </c>
      <c r="D21" s="4">
        <v>74.099999999999994</v>
      </c>
      <c r="E21" s="11">
        <f ca="1">E20+((D21-D20)*(H4/(D21^1/2)))</f>
        <v>1.9544433511706771E-2</v>
      </c>
      <c r="F21" s="5">
        <f t="shared" ca="1" si="8"/>
        <v>5.5187600502986767E-2</v>
      </c>
      <c r="G21" s="5">
        <f t="shared" ca="1" si="4"/>
        <v>1.4482425232174716</v>
      </c>
      <c r="H21" s="6">
        <f t="shared" ca="1" si="3"/>
        <v>4.5989667085822306E-3</v>
      </c>
      <c r="J21" s="37" t="s">
        <v>50</v>
      </c>
      <c r="L21" s="48">
        <f>Eldgja!N23</f>
        <v>100.5794047747473</v>
      </c>
      <c r="M21" s="52">
        <v>700</v>
      </c>
      <c r="N21" s="61">
        <v>18</v>
      </c>
      <c r="O21" s="50">
        <f>Eldgja!H4</f>
        <v>3.0300000000000001E-3</v>
      </c>
      <c r="P21" s="54"/>
      <c r="Q21">
        <f>Eldgja!E7</f>
        <v>3.0000000000000001E-3</v>
      </c>
    </row>
    <row r="22" spans="2:17" x14ac:dyDescent="0.25">
      <c r="B22" s="8">
        <v>41978</v>
      </c>
      <c r="C22" s="9">
        <f t="shared" si="7"/>
        <v>10</v>
      </c>
      <c r="D22" s="4">
        <v>76.2</v>
      </c>
      <c r="E22" s="11">
        <f ca="1">E21+((D22-D21)*(H4/(D22^1/2)))</f>
        <v>1.9701806172582197E-2</v>
      </c>
      <c r="F22" s="5">
        <f t="shared" ca="1" si="8"/>
        <v>5.3035104753427431E-2</v>
      </c>
      <c r="G22" s="5">
        <f t="shared" ca="1" si="4"/>
        <v>1.5012776303507636</v>
      </c>
      <c r="H22" s="6">
        <f t="shared" ca="1" si="3"/>
        <v>5.3035104753427435E-3</v>
      </c>
    </row>
    <row r="23" spans="2:17" x14ac:dyDescent="0.25">
      <c r="B23" s="8">
        <v>41984</v>
      </c>
      <c r="C23" s="9">
        <f t="shared" si="7"/>
        <v>6</v>
      </c>
      <c r="D23" s="4">
        <v>77.5</v>
      </c>
      <c r="E23" s="11">
        <f ca="1">E22+((D23-D22)*(H4/(D23^1/2)))</f>
        <v>1.9797593182021948E-2</v>
      </c>
      <c r="F23" s="5">
        <f t="shared" ca="1" si="8"/>
        <v>3.3035838811591001E-2</v>
      </c>
      <c r="G23" s="5">
        <f t="shared" ref="G23" ca="1" si="9">E23*D23</f>
        <v>1.5343134716067011</v>
      </c>
      <c r="H23" s="6">
        <f t="shared" ref="H23" ca="1" si="10">F23/C23</f>
        <v>5.5059731352651671E-3</v>
      </c>
    </row>
    <row r="24" spans="2:17" x14ac:dyDescent="0.25">
      <c r="B24" s="8">
        <v>41985</v>
      </c>
      <c r="C24" s="9">
        <f t="shared" si="7"/>
        <v>1</v>
      </c>
      <c r="D24" s="4">
        <v>78.599999999999994</v>
      </c>
      <c r="E24" s="11">
        <f ca="1">E23+((D24-D23)*(H4/(D24^1/2)))</f>
        <v>1.9877509433291658E-2</v>
      </c>
      <c r="F24" s="5">
        <f t="shared" ca="1" si="8"/>
        <v>2.8058767350775726E-2</v>
      </c>
      <c r="G24" s="5">
        <f t="shared" ref="G24" ca="1" si="11">E24*D24</f>
        <v>1.5623722414567243</v>
      </c>
      <c r="H24" s="6">
        <f t="shared" ref="H24" ca="1" si="12">F24/C24</f>
        <v>2.8058767350775726E-2</v>
      </c>
    </row>
    <row r="25" spans="2:17" x14ac:dyDescent="0.25">
      <c r="B25" s="8">
        <v>41991</v>
      </c>
      <c r="C25" s="9">
        <f t="shared" ref="C25" si="13">B25-B24</f>
        <v>6</v>
      </c>
      <c r="D25" s="4">
        <v>79.8</v>
      </c>
      <c r="E25" s="11">
        <f ca="1">E24+((D25-D24)*(H4/(D25^1/2)))</f>
        <v>1.996337980034291E-2</v>
      </c>
      <c r="F25" s="5">
        <f t="shared" ref="F25" ca="1" si="14">G25-G24</f>
        <v>3.0705464051192122E-2</v>
      </c>
      <c r="G25" s="5">
        <f t="shared" ref="G25" ca="1" si="15">E25*D25</f>
        <v>1.5930777080673642</v>
      </c>
      <c r="H25" s="6">
        <f t="shared" ref="H25" ca="1" si="16">F25/C25</f>
        <v>5.1175773418653536E-3</v>
      </c>
    </row>
    <row r="26" spans="2:17" x14ac:dyDescent="0.25">
      <c r="B26" s="8">
        <v>42002</v>
      </c>
      <c r="C26" s="9">
        <f t="shared" ref="C26" si="17">B26-B25</f>
        <v>11</v>
      </c>
      <c r="D26" s="4">
        <v>82.8</v>
      </c>
      <c r="E26" s="11">
        <f ca="1">E25+((D26-D25)*(H4/(D26^1/2)))</f>
        <v>2.0170277605013501E-2</v>
      </c>
      <c r="F26" s="5">
        <f t="shared" ref="F26" ca="1" si="18">G26-G25</f>
        <v>7.7021274916976079E-2</v>
      </c>
      <c r="G26" s="5">
        <f t="shared" ref="G26" ca="1" si="19">E26*D26</f>
        <v>1.6700989856951178</v>
      </c>
      <c r="H26" s="6">
        <f t="shared" ref="H26" ca="1" si="20">F26/C26</f>
        <v>7.0019340833614614E-3</v>
      </c>
    </row>
    <row r="27" spans="2:17" x14ac:dyDescent="0.25">
      <c r="B27" s="8">
        <v>42019</v>
      </c>
      <c r="C27" s="9">
        <f t="shared" ref="C27" si="21">B27-B26</f>
        <v>17</v>
      </c>
      <c r="D27" s="4">
        <v>84.3</v>
      </c>
      <c r="E27" s="11">
        <f ca="1">E26+((D27-D26)*(H4/(D27^1/2)))</f>
        <v>2.0271885779549238E-2</v>
      </c>
      <c r="F27" s="5">
        <f t="shared" ref="F27" ca="1" si="22">G27-G26</f>
        <v>3.8820982733441811E-2</v>
      </c>
      <c r="G27" s="5">
        <f t="shared" ref="G27" ca="1" si="23">E27*D27</f>
        <v>1.7089199712160006</v>
      </c>
      <c r="H27" s="6">
        <f t="shared" ref="H27" ca="1" si="24">F27/C27</f>
        <v>2.2835872196142241E-3</v>
      </c>
    </row>
    <row r="28" spans="2:17" ht="15.75" thickBot="1" x14ac:dyDescent="0.3">
      <c r="B28" s="8">
        <v>42047</v>
      </c>
      <c r="C28" s="9">
        <f t="shared" ref="C28" si="25">B28-B27</f>
        <v>28</v>
      </c>
      <c r="D28" s="4">
        <v>85</v>
      </c>
      <c r="E28" s="11">
        <f ca="1">E27+((D28-D27)*(H4/(D28^1/2)))</f>
        <v>2.0318912433504952E-2</v>
      </c>
      <c r="F28" s="5">
        <f t="shared" ref="F28" ca="1" si="26">G28-G27</f>
        <v>1.8187582808474323E-2</v>
      </c>
      <c r="G28" s="5">
        <f t="shared" ref="G28" ca="1" si="27">E28*D28</f>
        <v>1.7271075568479208</v>
      </c>
      <c r="H28" s="6">
        <f t="shared" ref="H28" ca="1" si="28">F28/C28</f>
        <v>6.4955652887408301E-4</v>
      </c>
    </row>
    <row r="29" spans="2:17" ht="15.75" thickBot="1" x14ac:dyDescent="0.3">
      <c r="B29" s="30">
        <f ca="1">TODAY()</f>
        <v>42055</v>
      </c>
      <c r="C29" s="10">
        <f ca="1">B29-B28</f>
        <v>8</v>
      </c>
      <c r="D29" s="14">
        <f ca="1">D28+((D28-D25)/(C28+C27+C25))*C29</f>
        <v>85.815686274509801</v>
      </c>
      <c r="E29" s="39">
        <f ca="1">E28+((D29-D28)*(H4/(D29^1/2)))</f>
        <v>2.0373190133868381E-2</v>
      </c>
      <c r="F29" s="12">
        <f ca="1">G29-G28</f>
        <v>2.1231733225541838E-2</v>
      </c>
      <c r="G29" s="12">
        <f t="shared" ca="1" si="4"/>
        <v>1.7483392929389874</v>
      </c>
      <c r="H29" s="13">
        <f t="shared" ca="1" si="3"/>
        <v>2.6539666531927297E-3</v>
      </c>
    </row>
    <row r="30" spans="2:17" ht="15.75" thickBot="1" x14ac:dyDescent="0.3">
      <c r="B30" s="16" t="s">
        <v>52</v>
      </c>
      <c r="C30" s="17">
        <f ca="1">B29-B7</f>
        <v>175</v>
      </c>
      <c r="D30" s="18">
        <f ca="1">C30/365</f>
        <v>0.47945205479452052</v>
      </c>
      <c r="F30" s="32" t="s">
        <v>53</v>
      </c>
      <c r="G30" s="19"/>
      <c r="H30" s="38">
        <f ca="1">H27*1000*1000*1000/(3600*24)</f>
        <v>26.43040763442389</v>
      </c>
    </row>
    <row r="31" spans="2:17" ht="15.75" thickBot="1" x14ac:dyDescent="0.3">
      <c r="B31" s="16"/>
      <c r="D31" s="18"/>
      <c r="F31" s="32" t="s">
        <v>3</v>
      </c>
      <c r="G31" s="19"/>
      <c r="H31" s="38">
        <f ca="1">H29*1000*1000*1000/(3600*24)</f>
        <v>30.717206634175113</v>
      </c>
    </row>
    <row r="32" spans="2:17" x14ac:dyDescent="0.25">
      <c r="B32" s="65" t="s">
        <v>13</v>
      </c>
      <c r="C32" s="65"/>
      <c r="D32" s="65"/>
      <c r="E32" s="65"/>
      <c r="F32" s="65"/>
      <c r="G32" s="65"/>
      <c r="H32" s="65"/>
      <c r="J32" s="37" t="s">
        <v>51</v>
      </c>
      <c r="M32" s="64">
        <f>Rift!C10</f>
        <v>0.64368421052631586</v>
      </c>
      <c r="N32" s="37"/>
      <c r="P32" s="37"/>
    </row>
    <row r="33" spans="2:21" ht="15.75" thickBot="1" x14ac:dyDescent="0.3">
      <c r="B33" s="65"/>
      <c r="C33" s="65"/>
      <c r="D33" s="65"/>
      <c r="E33" s="65"/>
      <c r="F33" s="65"/>
      <c r="G33" s="65"/>
      <c r="H33" s="65"/>
      <c r="J33" t="s">
        <v>8</v>
      </c>
      <c r="K33" s="37"/>
      <c r="L33" s="37" t="s">
        <v>1</v>
      </c>
      <c r="M33" s="37"/>
      <c r="N33" s="48">
        <f ca="1">(E47*1000*1000*1000/(3600*24))/C30</f>
        <v>118.51851851851853</v>
      </c>
      <c r="O33" s="37"/>
      <c r="P33" s="37"/>
      <c r="Q33" s="37"/>
    </row>
    <row r="34" spans="2:21" ht="15.75" thickBot="1" x14ac:dyDescent="0.3">
      <c r="B34" s="24" t="s">
        <v>2</v>
      </c>
      <c r="C34" s="25"/>
      <c r="D34" s="26"/>
      <c r="E34" s="24" t="s">
        <v>33</v>
      </c>
      <c r="F34" s="25"/>
      <c r="G34" s="26"/>
      <c r="H34" s="34">
        <v>2.8000000000000001E-2</v>
      </c>
    </row>
    <row r="35" spans="2:21" ht="15.75" thickBot="1" x14ac:dyDescent="0.3">
      <c r="B35" s="20" t="s">
        <v>34</v>
      </c>
      <c r="C35" s="21"/>
      <c r="D35" s="35">
        <v>18</v>
      </c>
      <c r="E35" s="20" t="s">
        <v>35</v>
      </c>
      <c r="F35" s="21"/>
      <c r="G35" s="23"/>
      <c r="H35" s="22">
        <v>0</v>
      </c>
    </row>
    <row r="36" spans="2:21" ht="45" x14ac:dyDescent="0.25">
      <c r="B36" s="7" t="s">
        <v>6</v>
      </c>
      <c r="C36" s="2" t="s">
        <v>5</v>
      </c>
      <c r="D36" s="2" t="s">
        <v>9</v>
      </c>
      <c r="E36" s="2" t="s">
        <v>17</v>
      </c>
      <c r="F36" s="2" t="s">
        <v>18</v>
      </c>
      <c r="G36" s="27" t="s">
        <v>10</v>
      </c>
      <c r="H36" s="3" t="s">
        <v>19</v>
      </c>
      <c r="I36" s="1"/>
    </row>
    <row r="37" spans="2:21" x14ac:dyDescent="0.25">
      <c r="B37" s="8">
        <v>41867</v>
      </c>
      <c r="C37" s="9"/>
      <c r="D37" s="4">
        <v>0</v>
      </c>
      <c r="E37" s="5">
        <v>0</v>
      </c>
      <c r="F37" s="4"/>
      <c r="G37" s="28"/>
      <c r="H37" s="6">
        <f>H38</f>
        <v>1.8666666666666668E-2</v>
      </c>
    </row>
    <row r="38" spans="2:21" x14ac:dyDescent="0.25">
      <c r="B38" s="8">
        <v>41894</v>
      </c>
      <c r="C38" s="9">
        <f t="shared" ref="C38:C45" si="29">B38-B37</f>
        <v>27</v>
      </c>
      <c r="D38" s="4">
        <f>D35</f>
        <v>18</v>
      </c>
      <c r="E38" s="5">
        <f>E37+((D38-D37)*(H34))</f>
        <v>0.504</v>
      </c>
      <c r="F38" s="5">
        <f t="shared" ref="F38:F45" si="30">E38-E37</f>
        <v>0.504</v>
      </c>
      <c r="G38" s="29"/>
      <c r="H38" s="6">
        <f t="shared" ref="H38:H44" si="31">F38/C38</f>
        <v>1.8666666666666668E-2</v>
      </c>
    </row>
    <row r="39" spans="2:21" x14ac:dyDescent="0.25">
      <c r="B39" s="8">
        <v>41905</v>
      </c>
      <c r="C39" s="9">
        <f t="shared" si="29"/>
        <v>11</v>
      </c>
      <c r="D39" s="4">
        <f>D38+5.3</f>
        <v>23.3</v>
      </c>
      <c r="E39" s="5">
        <f>E38+((D39-D38)*(H34))</f>
        <v>0.65240000000000009</v>
      </c>
      <c r="F39" s="5">
        <f t="shared" si="30"/>
        <v>0.14840000000000009</v>
      </c>
      <c r="G39" s="29"/>
      <c r="H39" s="6">
        <f t="shared" si="31"/>
        <v>1.3490909090909099E-2</v>
      </c>
    </row>
    <row r="40" spans="2:21" x14ac:dyDescent="0.25">
      <c r="B40" s="8">
        <v>41917</v>
      </c>
      <c r="C40" s="9">
        <f t="shared" si="29"/>
        <v>12</v>
      </c>
      <c r="D40" s="4">
        <f>D38+10</f>
        <v>28</v>
      </c>
      <c r="E40" s="5">
        <f>E39+((D40-D39)*(H34))</f>
        <v>0.78400000000000003</v>
      </c>
      <c r="F40" s="5">
        <f t="shared" si="30"/>
        <v>0.13159999999999994</v>
      </c>
      <c r="G40" s="29"/>
      <c r="H40" s="6">
        <f t="shared" si="31"/>
        <v>1.0966666666666661E-2</v>
      </c>
    </row>
    <row r="41" spans="2:21" x14ac:dyDescent="0.25">
      <c r="B41" s="8">
        <v>41928</v>
      </c>
      <c r="C41" s="9">
        <f t="shared" si="29"/>
        <v>11</v>
      </c>
      <c r="D41" s="4">
        <f>D38+14</f>
        <v>32</v>
      </c>
      <c r="E41" s="5">
        <f>E40+((D41-D40)*(H34))</f>
        <v>0.89600000000000002</v>
      </c>
      <c r="F41" s="5">
        <f t="shared" si="30"/>
        <v>0.11199999999999999</v>
      </c>
      <c r="G41" s="29"/>
      <c r="H41" s="6">
        <f t="shared" si="31"/>
        <v>1.0181818181818181E-2</v>
      </c>
    </row>
    <row r="42" spans="2:21" x14ac:dyDescent="0.25">
      <c r="B42" s="8">
        <v>41931</v>
      </c>
      <c r="C42" s="9">
        <f t="shared" si="29"/>
        <v>3</v>
      </c>
      <c r="D42" s="4">
        <f>D38+15</f>
        <v>33</v>
      </c>
      <c r="E42" s="5">
        <f>E41+((D42-D41)*(H34))</f>
        <v>0.92400000000000004</v>
      </c>
      <c r="F42" s="5">
        <f t="shared" si="30"/>
        <v>2.8000000000000025E-2</v>
      </c>
      <c r="G42" s="29"/>
      <c r="H42" s="6">
        <f t="shared" si="31"/>
        <v>9.333333333333341E-3</v>
      </c>
      <c r="U42" t="s">
        <v>0</v>
      </c>
    </row>
    <row r="43" spans="2:21" x14ac:dyDescent="0.25">
      <c r="B43" s="8">
        <v>41933</v>
      </c>
      <c r="C43" s="9">
        <f t="shared" si="29"/>
        <v>2</v>
      </c>
      <c r="D43" s="4">
        <f>D38+15.65</f>
        <v>33.65</v>
      </c>
      <c r="E43" s="5">
        <f>E42+((D43-D42)*(H34))</f>
        <v>0.94220000000000004</v>
      </c>
      <c r="F43" s="5">
        <f t="shared" si="30"/>
        <v>1.8199999999999994E-2</v>
      </c>
      <c r="G43" s="29"/>
      <c r="H43" s="6">
        <f>F43/C43</f>
        <v>9.099999999999997E-3</v>
      </c>
      <c r="U43" t="s">
        <v>0</v>
      </c>
    </row>
    <row r="44" spans="2:21" x14ac:dyDescent="0.25">
      <c r="B44" s="8">
        <v>41939</v>
      </c>
      <c r="C44" s="9">
        <f t="shared" si="29"/>
        <v>6</v>
      </c>
      <c r="D44" s="4">
        <f>D38+17.6</f>
        <v>35.6</v>
      </c>
      <c r="E44" s="5">
        <f>E43+((D44-D43)*(H34))</f>
        <v>0.99680000000000013</v>
      </c>
      <c r="F44" s="5">
        <f t="shared" si="30"/>
        <v>5.4600000000000093E-2</v>
      </c>
      <c r="G44" s="29"/>
      <c r="H44" s="6">
        <f t="shared" si="31"/>
        <v>9.1000000000000161E-3</v>
      </c>
      <c r="U44" t="s">
        <v>0</v>
      </c>
    </row>
    <row r="45" spans="2:21" x14ac:dyDescent="0.25">
      <c r="B45" s="8">
        <v>41966</v>
      </c>
      <c r="C45" s="9">
        <f t="shared" si="29"/>
        <v>27</v>
      </c>
      <c r="D45" s="4">
        <f>D39+26</f>
        <v>49.3</v>
      </c>
      <c r="E45" s="5">
        <f>E44+((D45-D44)*(H34))</f>
        <v>1.3804000000000001</v>
      </c>
      <c r="F45" s="5">
        <f t="shared" si="30"/>
        <v>0.38359999999999994</v>
      </c>
      <c r="G45" s="29"/>
      <c r="H45" s="6">
        <f>F45/C45</f>
        <v>1.4207407407407405E-2</v>
      </c>
      <c r="U45" t="s">
        <v>0</v>
      </c>
    </row>
    <row r="46" spans="2:21" ht="15.75" thickBot="1" x14ac:dyDescent="0.3">
      <c r="B46" s="8">
        <v>42045</v>
      </c>
      <c r="C46" s="9">
        <f t="shared" ref="C46" si="32">B46-B45</f>
        <v>79</v>
      </c>
      <c r="D46" s="4">
        <f>D40+36</f>
        <v>64</v>
      </c>
      <c r="E46" s="5">
        <f>E45+((D46-D45)*(H34))</f>
        <v>1.7920000000000003</v>
      </c>
      <c r="F46" s="5">
        <f t="shared" ref="F46" si="33">E46-E45</f>
        <v>0.41160000000000019</v>
      </c>
      <c r="G46" s="29"/>
      <c r="H46" s="6">
        <f>F46/C46</f>
        <v>5.2101265822784831E-3</v>
      </c>
      <c r="U46" t="s">
        <v>0</v>
      </c>
    </row>
    <row r="47" spans="2:21" ht="15.75" thickBot="1" x14ac:dyDescent="0.3">
      <c r="B47" s="30">
        <f ca="1">B29</f>
        <v>42055</v>
      </c>
      <c r="C47" s="10">
        <f ca="1">B47-B45</f>
        <v>89</v>
      </c>
      <c r="D47" s="15">
        <v>64</v>
      </c>
      <c r="E47" s="36">
        <f>E45+((D47-D45)*(H34))</f>
        <v>1.7920000000000003</v>
      </c>
      <c r="F47" s="36">
        <f>E47-E46</f>
        <v>0</v>
      </c>
      <c r="G47" s="36">
        <f ca="1">M32+G29-E47</f>
        <v>0.60002350346530298</v>
      </c>
      <c r="H47" s="13">
        <f ca="1">F47/C47</f>
        <v>0</v>
      </c>
    </row>
    <row r="48" spans="2:21" ht="15.75" thickBot="1" x14ac:dyDescent="0.3"/>
    <row r="49" spans="2:14" ht="15.75" thickBot="1" x14ac:dyDescent="0.3">
      <c r="B49" t="s">
        <v>12</v>
      </c>
      <c r="G49" s="33">
        <f ca="1">G47</f>
        <v>0.60002350346530298</v>
      </c>
    </row>
    <row r="56" spans="2:14" x14ac:dyDescent="0.25">
      <c r="N56" s="31"/>
    </row>
  </sheetData>
  <mergeCells count="3">
    <mergeCell ref="B32:H33"/>
    <mergeCell ref="B2:Q2"/>
    <mergeCell ref="B3:D4"/>
  </mergeCells>
  <phoneticPr fontId="1" type="noConversion"/>
  <pageMargins left="0.7" right="0.7" top="0.75" bottom="0.75" header="0.3" footer="0.3"/>
  <pageSetup paperSize="9" orientation="portrait" horizontalDpi="4294967293" verticalDpi="7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48"/>
  <sheetViews>
    <sheetView showGridLines="0" zoomScale="90" zoomScaleNormal="90" workbookViewId="0">
      <selection activeCell="F41" sqref="F41"/>
    </sheetView>
  </sheetViews>
  <sheetFormatPr defaultRowHeight="15" x14ac:dyDescent="0.25"/>
  <cols>
    <col min="1" max="1" width="7" customWidth="1"/>
    <col min="2" max="2" width="12.28515625" customWidth="1"/>
    <col min="3" max="3" width="6.42578125" customWidth="1"/>
    <col min="4" max="4" width="8.140625" customWidth="1"/>
    <col min="5" max="5" width="10.28515625" bestFit="1" customWidth="1"/>
    <col min="6" max="6" width="10.28515625" customWidth="1"/>
    <col min="7" max="7" width="10" bestFit="1" customWidth="1"/>
    <col min="8" max="8" width="11.7109375" customWidth="1"/>
    <col min="13" max="13" width="12.85546875" customWidth="1"/>
    <col min="14" max="14" width="12.5703125" customWidth="1"/>
  </cols>
  <sheetData>
    <row r="2" spans="2:10" ht="15.75" thickBot="1" x14ac:dyDescent="0.3">
      <c r="B2" t="s">
        <v>36</v>
      </c>
    </row>
    <row r="3" spans="2:10" ht="15" customHeight="1" x14ac:dyDescent="0.25">
      <c r="B3" s="65" t="s">
        <v>20</v>
      </c>
      <c r="C3" s="65"/>
      <c r="D3" s="68"/>
      <c r="E3" s="40" t="s">
        <v>31</v>
      </c>
      <c r="F3" s="25"/>
      <c r="G3" s="25"/>
      <c r="H3" s="26">
        <v>6.0000000000000001E-3</v>
      </c>
    </row>
    <row r="4" spans="2:10" ht="15.75" thickBot="1" x14ac:dyDescent="0.3">
      <c r="B4" s="69"/>
      <c r="C4" s="69"/>
      <c r="D4" s="69"/>
      <c r="E4" s="42" t="s">
        <v>32</v>
      </c>
      <c r="F4" s="58"/>
      <c r="G4" s="58"/>
      <c r="H4" s="59">
        <v>2.0999999999999999E-3</v>
      </c>
      <c r="J4" t="s">
        <v>7</v>
      </c>
    </row>
    <row r="5" spans="2:10" ht="45" x14ac:dyDescent="0.25">
      <c r="B5" s="7" t="s">
        <v>6</v>
      </c>
      <c r="C5" s="2" t="s">
        <v>5</v>
      </c>
      <c r="D5" s="2" t="s">
        <v>4</v>
      </c>
      <c r="E5" s="56" t="s">
        <v>11</v>
      </c>
      <c r="F5" s="56" t="s">
        <v>14</v>
      </c>
      <c r="G5" s="56" t="s">
        <v>15</v>
      </c>
      <c r="H5" s="57" t="s">
        <v>16</v>
      </c>
      <c r="I5" s="1"/>
    </row>
    <row r="6" spans="2:10" x14ac:dyDescent="0.25">
      <c r="B6" s="8">
        <v>41867</v>
      </c>
      <c r="C6" s="9"/>
      <c r="D6" s="4">
        <v>0</v>
      </c>
      <c r="E6" s="11">
        <v>0</v>
      </c>
      <c r="F6" s="4"/>
      <c r="G6" s="5">
        <f t="shared" ref="G6:G23" si="0">E6*D6</f>
        <v>0</v>
      </c>
      <c r="H6" s="6">
        <f>G6/14</f>
        <v>0</v>
      </c>
    </row>
    <row r="7" spans="2:10" x14ac:dyDescent="0.25">
      <c r="B7" s="8">
        <v>41880</v>
      </c>
      <c r="C7" s="9"/>
      <c r="D7" s="4">
        <v>0</v>
      </c>
      <c r="E7" s="11">
        <f>H3</f>
        <v>6.0000000000000001E-3</v>
      </c>
      <c r="F7" s="4"/>
      <c r="G7" s="5">
        <f t="shared" si="0"/>
        <v>0</v>
      </c>
      <c r="H7" s="6">
        <f>G7/14</f>
        <v>0</v>
      </c>
    </row>
    <row r="8" spans="2:10" x14ac:dyDescent="0.25">
      <c r="B8" s="8">
        <v>41883</v>
      </c>
      <c r="C8" s="9">
        <f t="shared" ref="C8:C23" si="1">B8-B7</f>
        <v>3</v>
      </c>
      <c r="D8" s="4">
        <v>4</v>
      </c>
      <c r="E8" s="11">
        <f>E7+((D8-D7)*(H4/(D8^1/2)))</f>
        <v>1.0200000000000001E-2</v>
      </c>
      <c r="F8" s="5">
        <f t="shared" ref="F8:F23" si="2">G8-G7</f>
        <v>4.0800000000000003E-2</v>
      </c>
      <c r="G8" s="5">
        <f t="shared" si="0"/>
        <v>4.0800000000000003E-2</v>
      </c>
      <c r="H8" s="6">
        <f t="shared" ref="H8:H23" si="3">F8/C8</f>
        <v>1.3600000000000001E-2</v>
      </c>
    </row>
    <row r="9" spans="2:10" x14ac:dyDescent="0.25">
      <c r="B9" s="8">
        <v>41895</v>
      </c>
      <c r="C9" s="9">
        <f t="shared" si="1"/>
        <v>12</v>
      </c>
      <c r="D9" s="4">
        <v>24.5</v>
      </c>
      <c r="E9" s="11">
        <f>E8+((D9-D8)*(H4/(D9^1/2)))</f>
        <v>1.3714285714285715E-2</v>
      </c>
      <c r="F9" s="5">
        <f t="shared" si="2"/>
        <v>0.29520000000000002</v>
      </c>
      <c r="G9" s="5">
        <f t="shared" si="0"/>
        <v>0.33600000000000002</v>
      </c>
      <c r="H9" s="6">
        <f t="shared" si="3"/>
        <v>2.46E-2</v>
      </c>
    </row>
    <row r="10" spans="2:10" x14ac:dyDescent="0.25">
      <c r="B10" s="8">
        <v>41902</v>
      </c>
      <c r="C10" s="9">
        <f t="shared" si="1"/>
        <v>7</v>
      </c>
      <c r="D10" s="4">
        <v>37</v>
      </c>
      <c r="E10" s="11">
        <f>E9+((D10-D9)*(H4/(D10^1/2)))</f>
        <v>1.5133204633204634E-2</v>
      </c>
      <c r="F10" s="5">
        <f t="shared" si="2"/>
        <v>0.22392857142857142</v>
      </c>
      <c r="G10" s="5">
        <f t="shared" si="0"/>
        <v>0.55992857142857144</v>
      </c>
      <c r="H10" s="6">
        <f t="shared" si="3"/>
        <v>3.1989795918367349E-2</v>
      </c>
    </row>
    <row r="11" spans="2:10" x14ac:dyDescent="0.25">
      <c r="B11" s="8">
        <v>41908</v>
      </c>
      <c r="C11" s="9">
        <f t="shared" si="1"/>
        <v>6</v>
      </c>
      <c r="D11" s="4">
        <v>44.2</v>
      </c>
      <c r="E11" s="11">
        <f>E10+((D11-D10)*(H4/(D11^1/2)))</f>
        <v>1.5817367529132237E-2</v>
      </c>
      <c r="F11" s="5">
        <f t="shared" si="2"/>
        <v>0.13919907335907344</v>
      </c>
      <c r="G11" s="5">
        <f t="shared" si="0"/>
        <v>0.69912764478764489</v>
      </c>
      <c r="H11" s="6">
        <f t="shared" si="3"/>
        <v>2.3199845559845573E-2</v>
      </c>
    </row>
    <row r="12" spans="2:10" x14ac:dyDescent="0.25">
      <c r="B12" s="8">
        <v>41919</v>
      </c>
      <c r="C12" s="9">
        <f t="shared" si="1"/>
        <v>11</v>
      </c>
      <c r="D12" s="4">
        <v>54</v>
      </c>
      <c r="E12" s="11">
        <f>E11+((D12-D11)*(H4/(D12^1/2)))</f>
        <v>1.657958975135446E-2</v>
      </c>
      <c r="F12" s="5">
        <f t="shared" si="2"/>
        <v>0.19617020178549593</v>
      </c>
      <c r="G12" s="5">
        <f t="shared" si="0"/>
        <v>0.89529784657314082</v>
      </c>
      <c r="H12" s="6">
        <f t="shared" si="3"/>
        <v>1.7833654707772359E-2</v>
      </c>
    </row>
    <row r="13" spans="2:10" x14ac:dyDescent="0.25">
      <c r="B13" s="8">
        <v>41922</v>
      </c>
      <c r="C13" s="9">
        <f t="shared" si="1"/>
        <v>3</v>
      </c>
      <c r="D13" s="4">
        <v>55.82</v>
      </c>
      <c r="E13" s="11">
        <f>E12+((D13-D12)*(H4/(D13^1/2)))</f>
        <v>1.6716529916169939E-2</v>
      </c>
      <c r="F13" s="5">
        <f t="shared" si="2"/>
        <v>3.7818853347465153E-2</v>
      </c>
      <c r="G13" s="5">
        <f t="shared" si="0"/>
        <v>0.93311669992060597</v>
      </c>
      <c r="H13" s="6">
        <f t="shared" si="3"/>
        <v>1.2606284449155051E-2</v>
      </c>
    </row>
    <row r="14" spans="2:10" x14ac:dyDescent="0.25">
      <c r="B14" s="8">
        <v>41929</v>
      </c>
      <c r="C14" s="9">
        <f t="shared" si="1"/>
        <v>7</v>
      </c>
      <c r="D14" s="4">
        <v>59.2</v>
      </c>
      <c r="E14" s="11">
        <f>E13+((D14-D13)*(H4/(D14^1/2)))</f>
        <v>1.6956327213467237E-2</v>
      </c>
      <c r="F14" s="5">
        <f t="shared" si="2"/>
        <v>7.0697871116654598E-2</v>
      </c>
      <c r="G14" s="5">
        <f t="shared" si="0"/>
        <v>1.0038145710372606</v>
      </c>
      <c r="H14" s="6">
        <f t="shared" si="3"/>
        <v>1.0099695873807799E-2</v>
      </c>
    </row>
    <row r="15" spans="2:10" x14ac:dyDescent="0.25">
      <c r="B15" s="8">
        <v>41931</v>
      </c>
      <c r="C15" s="9">
        <f t="shared" si="1"/>
        <v>2</v>
      </c>
      <c r="D15" s="4">
        <v>60.7</v>
      </c>
      <c r="E15" s="11">
        <f>E14+((D15-D14)*(H4/(D15^1/2)))</f>
        <v>1.7060116340320616E-2</v>
      </c>
      <c r="F15" s="5">
        <f t="shared" si="2"/>
        <v>3.1734490820200856E-2</v>
      </c>
      <c r="G15" s="5">
        <f t="shared" si="0"/>
        <v>1.0355490618574614</v>
      </c>
      <c r="H15" s="6">
        <f t="shared" si="3"/>
        <v>1.5867245410100428E-2</v>
      </c>
    </row>
    <row r="16" spans="2:10" x14ac:dyDescent="0.25">
      <c r="B16" s="8">
        <v>41935</v>
      </c>
      <c r="C16" s="9">
        <f t="shared" si="1"/>
        <v>4</v>
      </c>
      <c r="D16" s="4">
        <v>63</v>
      </c>
      <c r="E16" s="11">
        <f>E15+((D16-D15)*(H4/(D16^1/2)))</f>
        <v>1.7213449673653947E-2</v>
      </c>
      <c r="F16" s="5">
        <f t="shared" si="2"/>
        <v>4.8898267582737187E-2</v>
      </c>
      <c r="G16" s="5">
        <f t="shared" si="0"/>
        <v>1.0844473294401986</v>
      </c>
      <c r="H16" s="6">
        <f t="shared" si="3"/>
        <v>1.2224566895684297E-2</v>
      </c>
    </row>
    <row r="17" spans="2:18" x14ac:dyDescent="0.25">
      <c r="B17" s="8">
        <v>41936</v>
      </c>
      <c r="C17" s="9">
        <f t="shared" si="1"/>
        <v>1</v>
      </c>
      <c r="D17" s="4">
        <v>63.8</v>
      </c>
      <c r="E17" s="11">
        <f>E16+((D17-D16)*(H4/(D17^1/2)))</f>
        <v>1.7266114250456453E-2</v>
      </c>
      <c r="F17" s="5">
        <f t="shared" si="2"/>
        <v>1.7130759738922974E-2</v>
      </c>
      <c r="G17" s="5">
        <f t="shared" si="0"/>
        <v>1.1015780891791216</v>
      </c>
      <c r="H17" s="6">
        <f t="shared" si="3"/>
        <v>1.7130759738922974E-2</v>
      </c>
    </row>
    <row r="18" spans="2:18" x14ac:dyDescent="0.25">
      <c r="B18" s="8">
        <v>41939</v>
      </c>
      <c r="C18" s="9">
        <f t="shared" si="1"/>
        <v>3</v>
      </c>
      <c r="D18" s="4">
        <f>63.8+0.8</f>
        <v>64.599999999999994</v>
      </c>
      <c r="E18" s="11">
        <f>E17+((D18-D17)*(H4/(D18^1/2)))</f>
        <v>1.7318126634357382E-2</v>
      </c>
      <c r="F18" s="5">
        <f t="shared" si="2"/>
        <v>1.7172891400365264E-2</v>
      </c>
      <c r="G18" s="5">
        <f t="shared" si="0"/>
        <v>1.1187509805794869</v>
      </c>
      <c r="H18" s="6">
        <f t="shared" si="3"/>
        <v>5.7242971334550878E-3</v>
      </c>
    </row>
    <row r="19" spans="2:18" x14ac:dyDescent="0.25">
      <c r="B19" s="8">
        <v>41940</v>
      </c>
      <c r="C19" s="9">
        <f t="shared" si="1"/>
        <v>1</v>
      </c>
      <c r="D19" s="4">
        <v>65</v>
      </c>
      <c r="E19" s="11">
        <f>E18+((D19-D18)*(H4/(D19^1/2)))</f>
        <v>1.7343972788203536E-2</v>
      </c>
      <c r="F19" s="5">
        <f t="shared" si="2"/>
        <v>8.6072506537429039E-3</v>
      </c>
      <c r="G19" s="5">
        <f t="shared" si="0"/>
        <v>1.1273582312332298</v>
      </c>
      <c r="H19" s="6">
        <f t="shared" si="3"/>
        <v>8.6072506537429039E-3</v>
      </c>
    </row>
    <row r="20" spans="2:18" x14ac:dyDescent="0.25">
      <c r="B20" s="8">
        <v>41956</v>
      </c>
      <c r="C20" s="9">
        <f t="shared" si="1"/>
        <v>16</v>
      </c>
      <c r="D20" s="4">
        <v>71.900000000000006</v>
      </c>
      <c r="E20" s="11">
        <f>E19+((D20-D19)*(H4/(D20^1/2)))</f>
        <v>1.7747032593488653E-2</v>
      </c>
      <c r="F20" s="5">
        <f t="shared" si="2"/>
        <v>0.14865341223860451</v>
      </c>
      <c r="G20" s="5">
        <f t="shared" si="0"/>
        <v>1.2760116434718343</v>
      </c>
      <c r="H20" s="6">
        <f t="shared" si="3"/>
        <v>9.2908382649127819E-3</v>
      </c>
    </row>
    <row r="21" spans="2:18" x14ac:dyDescent="0.25">
      <c r="B21" s="8">
        <v>41968</v>
      </c>
      <c r="C21" s="9">
        <f t="shared" si="1"/>
        <v>12</v>
      </c>
      <c r="D21" s="4">
        <v>74.099999999999994</v>
      </c>
      <c r="E21" s="11">
        <f>E20+((D21-D20)*(H4/(D21^1/2)))</f>
        <v>1.7871728949763955E-2</v>
      </c>
      <c r="F21" s="5">
        <f t="shared" si="2"/>
        <v>4.8283471705674597E-2</v>
      </c>
      <c r="G21" s="5">
        <f t="shared" si="0"/>
        <v>1.3242951151775089</v>
      </c>
      <c r="H21" s="6">
        <f t="shared" si="3"/>
        <v>4.02362264213955E-3</v>
      </c>
    </row>
    <row r="22" spans="2:18" ht="15.75" thickBot="1" x14ac:dyDescent="0.3">
      <c r="B22" s="8">
        <v>41975</v>
      </c>
      <c r="C22" s="9">
        <f t="shared" si="1"/>
        <v>7</v>
      </c>
      <c r="D22" s="4">
        <v>96.805000000000007</v>
      </c>
      <c r="E22" s="11">
        <f>E21+((D22-D21)*(H4/(D22^1/2)))</f>
        <v>1.885681236487681E-2</v>
      </c>
      <c r="F22" s="5">
        <f t="shared" si="2"/>
        <v>0.50113860580439096</v>
      </c>
      <c r="G22" s="5">
        <f t="shared" si="0"/>
        <v>1.8254337209818998</v>
      </c>
      <c r="H22" s="6">
        <f t="shared" si="3"/>
        <v>7.1591229400627274E-2</v>
      </c>
      <c r="Q22" t="s">
        <v>20</v>
      </c>
      <c r="R22" t="s">
        <v>21</v>
      </c>
    </row>
    <row r="23" spans="2:18" ht="15.75" thickBot="1" x14ac:dyDescent="0.3">
      <c r="B23" s="30">
        <v>42124</v>
      </c>
      <c r="C23" s="10">
        <f t="shared" si="1"/>
        <v>149</v>
      </c>
      <c r="D23" s="14">
        <f>D22+(((D22-D21)/C22)*C23)</f>
        <v>580.09714285714313</v>
      </c>
      <c r="E23" s="39">
        <f>E22+((D23-D22)*(H4/(D23^1/2)))</f>
        <v>2.2355928030233351E-2</v>
      </c>
      <c r="F23" s="12">
        <f t="shared" si="2"/>
        <v>11.143176255276387</v>
      </c>
      <c r="G23" s="12">
        <f t="shared" si="0"/>
        <v>12.968609976258287</v>
      </c>
      <c r="H23" s="13">
        <f t="shared" si="3"/>
        <v>7.4786417820646892E-2</v>
      </c>
      <c r="K23" s="37" t="s">
        <v>26</v>
      </c>
      <c r="L23" s="37"/>
      <c r="M23" s="37"/>
      <c r="N23" s="48">
        <f>(G23*1000*1000*1000/(3600*24))/C24</f>
        <v>615.16251025815336</v>
      </c>
      <c r="P23" t="s">
        <v>23</v>
      </c>
      <c r="Q23">
        <v>13</v>
      </c>
      <c r="R23">
        <v>18</v>
      </c>
    </row>
    <row r="24" spans="2:18" ht="15.75" thickBot="1" x14ac:dyDescent="0.3">
      <c r="B24" s="16"/>
      <c r="C24" s="17">
        <f>B23-B7</f>
        <v>244</v>
      </c>
      <c r="D24" s="18">
        <f>C24/365</f>
        <v>0.66849315068493154</v>
      </c>
      <c r="F24" s="32" t="s">
        <v>3</v>
      </c>
      <c r="G24" s="19"/>
      <c r="H24" s="38">
        <f>H23*1000*1000*1000/(3600*24)</f>
        <v>865.58353959082058</v>
      </c>
      <c r="K24" s="37"/>
      <c r="L24" s="37"/>
      <c r="M24" s="37"/>
      <c r="N24" s="48"/>
      <c r="P24" t="s">
        <v>22</v>
      </c>
      <c r="Q24">
        <v>580</v>
      </c>
      <c r="R24">
        <v>700</v>
      </c>
    </row>
    <row r="25" spans="2:18" x14ac:dyDescent="0.25">
      <c r="K25" s="37"/>
      <c r="L25" s="37"/>
      <c r="M25" s="37"/>
      <c r="N25" s="37"/>
      <c r="P25" t="s">
        <v>24</v>
      </c>
      <c r="Q25">
        <f>Q23/Q24</f>
        <v>2.2413793103448276E-2</v>
      </c>
      <c r="R25">
        <f>R23/R24</f>
        <v>2.5714285714285714E-2</v>
      </c>
    </row>
    <row r="26" spans="2:18" x14ac:dyDescent="0.25">
      <c r="K26" s="37"/>
      <c r="L26" s="37"/>
      <c r="M26" s="37"/>
      <c r="N26" s="49"/>
      <c r="P26" t="s">
        <v>37</v>
      </c>
      <c r="Q26">
        <f>H4</f>
        <v>2.0999999999999999E-3</v>
      </c>
      <c r="R26">
        <f>Eldgja!H4</f>
        <v>3.0300000000000001E-3</v>
      </c>
    </row>
    <row r="29" spans="2:18" x14ac:dyDescent="0.25">
      <c r="I29" s="1"/>
    </row>
    <row r="35" spans="14:21" x14ac:dyDescent="0.25">
      <c r="U35" t="s">
        <v>0</v>
      </c>
    </row>
    <row r="36" spans="14:21" x14ac:dyDescent="0.25">
      <c r="U36" t="s">
        <v>0</v>
      </c>
    </row>
    <row r="37" spans="14:21" x14ac:dyDescent="0.25">
      <c r="U37" t="s">
        <v>0</v>
      </c>
    </row>
    <row r="38" spans="14:21" x14ac:dyDescent="0.25">
      <c r="U38" t="s">
        <v>0</v>
      </c>
    </row>
    <row r="48" spans="14:21" x14ac:dyDescent="0.25">
      <c r="N48" s="31"/>
    </row>
  </sheetData>
  <mergeCells count="1">
    <mergeCell ref="B3:D4"/>
  </mergeCells>
  <phoneticPr fontId="1" type="noConversion"/>
  <pageMargins left="0.7" right="0.7" top="0.75" bottom="0.75" header="0.3" footer="0.3"/>
  <pageSetup paperSize="9" orientation="portrait" horizontalDpi="4294967293" verticalDpi="7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30"/>
  <sheetViews>
    <sheetView showGridLines="0" zoomScale="90" zoomScaleNormal="90" workbookViewId="0">
      <selection activeCell="E8" sqref="E8"/>
    </sheetView>
  </sheetViews>
  <sheetFormatPr defaultRowHeight="15" x14ac:dyDescent="0.25"/>
  <cols>
    <col min="1" max="1" width="7" customWidth="1"/>
    <col min="2" max="2" width="12.28515625" customWidth="1"/>
    <col min="3" max="3" width="6.42578125" customWidth="1"/>
    <col min="4" max="4" width="8.140625" customWidth="1"/>
    <col min="5" max="5" width="10.28515625" bestFit="1" customWidth="1"/>
    <col min="6" max="6" width="10.28515625" customWidth="1"/>
    <col min="7" max="7" width="10" bestFit="1" customWidth="1"/>
    <col min="8" max="8" width="11.7109375" customWidth="1"/>
    <col min="13" max="13" width="12.85546875" customWidth="1"/>
    <col min="14" max="14" width="12.5703125" customWidth="1"/>
    <col min="15" max="15" width="8.85546875" customWidth="1"/>
  </cols>
  <sheetData>
    <row r="2" spans="2:10" ht="15.75" thickBot="1" x14ac:dyDescent="0.3">
      <c r="B2" t="s">
        <v>38</v>
      </c>
    </row>
    <row r="3" spans="2:10" x14ac:dyDescent="0.25">
      <c r="E3" s="40" t="s">
        <v>31</v>
      </c>
      <c r="F3" s="25"/>
      <c r="G3" s="25"/>
      <c r="H3" s="26">
        <v>3.0000000000000001E-3</v>
      </c>
    </row>
    <row r="4" spans="2:10" ht="15.75" thickBot="1" x14ac:dyDescent="0.3">
      <c r="B4" s="69" t="s">
        <v>21</v>
      </c>
      <c r="C4" s="69"/>
      <c r="D4" s="70"/>
      <c r="E4" s="42" t="s">
        <v>32</v>
      </c>
      <c r="F4" s="58"/>
      <c r="G4" s="58"/>
      <c r="H4" s="59">
        <v>3.0300000000000001E-3</v>
      </c>
      <c r="J4" t="s">
        <v>7</v>
      </c>
    </row>
    <row r="5" spans="2:10" ht="45" x14ac:dyDescent="0.25">
      <c r="B5" s="7" t="s">
        <v>6</v>
      </c>
      <c r="C5" s="2" t="s">
        <v>5</v>
      </c>
      <c r="D5" s="2" t="s">
        <v>4</v>
      </c>
      <c r="E5" s="2" t="s">
        <v>11</v>
      </c>
      <c r="F5" s="2" t="s">
        <v>14</v>
      </c>
      <c r="G5" s="2" t="s">
        <v>15</v>
      </c>
      <c r="H5" s="3" t="s">
        <v>16</v>
      </c>
      <c r="I5" s="1"/>
    </row>
    <row r="6" spans="2:10" x14ac:dyDescent="0.25">
      <c r="B6" s="8">
        <v>41867</v>
      </c>
      <c r="C6" s="9"/>
      <c r="D6" s="4">
        <v>0</v>
      </c>
      <c r="E6" s="11">
        <v>0</v>
      </c>
      <c r="F6" s="4"/>
      <c r="G6" s="5">
        <f t="shared" ref="G6:G23" si="0">E6*D6</f>
        <v>0</v>
      </c>
      <c r="H6" s="6">
        <f>G6/14</f>
        <v>0</v>
      </c>
    </row>
    <row r="7" spans="2:10" x14ac:dyDescent="0.25">
      <c r="B7" s="8">
        <v>41880</v>
      </c>
      <c r="C7" s="9"/>
      <c r="D7" s="4">
        <v>0</v>
      </c>
      <c r="E7" s="11">
        <f>H3</f>
        <v>3.0000000000000001E-3</v>
      </c>
      <c r="F7" s="4"/>
      <c r="G7" s="5">
        <f t="shared" si="0"/>
        <v>0</v>
      </c>
      <c r="H7" s="6">
        <f>G7/14</f>
        <v>0</v>
      </c>
    </row>
    <row r="8" spans="2:10" x14ac:dyDescent="0.25">
      <c r="B8" s="8">
        <v>41883</v>
      </c>
      <c r="C8" s="9">
        <f t="shared" ref="C8:C23" si="1">B8-B7</f>
        <v>3</v>
      </c>
      <c r="D8" s="4">
        <v>4</v>
      </c>
      <c r="E8" s="11">
        <f>E7+((D8-D7)*(H4/(D8^1/2)))</f>
        <v>9.0600000000000003E-3</v>
      </c>
      <c r="F8" s="5">
        <f t="shared" ref="F8:F23" si="2">G8-G7</f>
        <v>3.6240000000000001E-2</v>
      </c>
      <c r="G8" s="5">
        <f t="shared" si="0"/>
        <v>3.6240000000000001E-2</v>
      </c>
      <c r="H8" s="6">
        <f t="shared" ref="H8:H23" si="3">F8/C8</f>
        <v>1.208E-2</v>
      </c>
    </row>
    <row r="9" spans="2:10" x14ac:dyDescent="0.25">
      <c r="B9" s="8">
        <v>41895</v>
      </c>
      <c r="C9" s="9">
        <f t="shared" si="1"/>
        <v>12</v>
      </c>
      <c r="D9" s="4">
        <v>24.5</v>
      </c>
      <c r="E9" s="11">
        <f>E8+((D9-D8)*(H4/(D9^1/2)))</f>
        <v>1.413061224489796E-2</v>
      </c>
      <c r="F9" s="5">
        <f t="shared" si="2"/>
        <v>0.30996000000000001</v>
      </c>
      <c r="G9" s="5">
        <f t="shared" si="0"/>
        <v>0.34620000000000001</v>
      </c>
      <c r="H9" s="6">
        <f t="shared" si="3"/>
        <v>2.5830000000000002E-2</v>
      </c>
    </row>
    <row r="10" spans="2:10" x14ac:dyDescent="0.25">
      <c r="B10" s="8">
        <v>41902</v>
      </c>
      <c r="C10" s="9">
        <f t="shared" si="1"/>
        <v>7</v>
      </c>
      <c r="D10" s="4">
        <v>37</v>
      </c>
      <c r="E10" s="11">
        <f>E9+((D10-D9)*(H4/(D10^1/2)))</f>
        <v>1.6177909542195258E-2</v>
      </c>
      <c r="F10" s="5">
        <f t="shared" si="2"/>
        <v>0.25238265306122459</v>
      </c>
      <c r="G10" s="5">
        <f t="shared" si="0"/>
        <v>0.5985826530612246</v>
      </c>
      <c r="H10" s="6">
        <f t="shared" si="3"/>
        <v>3.6054664723032086E-2</v>
      </c>
    </row>
    <row r="11" spans="2:10" x14ac:dyDescent="0.25">
      <c r="B11" s="8">
        <v>41908</v>
      </c>
      <c r="C11" s="9">
        <f t="shared" si="1"/>
        <v>6</v>
      </c>
      <c r="D11" s="4">
        <v>44.2</v>
      </c>
      <c r="E11" s="11">
        <f>E10+((D11-D10)*(H4/(D11^1/2)))</f>
        <v>1.7165058863462226E-2</v>
      </c>
      <c r="F11" s="5">
        <f t="shared" si="2"/>
        <v>0.16011294870380588</v>
      </c>
      <c r="G11" s="5">
        <f t="shared" si="0"/>
        <v>0.75869560176503048</v>
      </c>
      <c r="H11" s="6">
        <f t="shared" si="3"/>
        <v>2.6685491450634313E-2</v>
      </c>
    </row>
    <row r="12" spans="2:10" x14ac:dyDescent="0.25">
      <c r="B12" s="8">
        <v>41919</v>
      </c>
      <c r="C12" s="9">
        <f t="shared" si="1"/>
        <v>11</v>
      </c>
      <c r="D12" s="4">
        <v>54</v>
      </c>
      <c r="E12" s="11">
        <f>E11+((D12-D11)*(H4/(D12^1/2)))</f>
        <v>1.8264836641240002E-2</v>
      </c>
      <c r="F12" s="5">
        <f t="shared" si="2"/>
        <v>0.22760557686192961</v>
      </c>
      <c r="G12" s="5">
        <f t="shared" si="0"/>
        <v>0.9863011786269601</v>
      </c>
      <c r="H12" s="6">
        <f t="shared" si="3"/>
        <v>2.0691416078357238E-2</v>
      </c>
    </row>
    <row r="13" spans="2:10" x14ac:dyDescent="0.25">
      <c r="B13" s="8">
        <v>41922</v>
      </c>
      <c r="C13" s="9">
        <f t="shared" si="1"/>
        <v>3</v>
      </c>
      <c r="D13" s="4">
        <v>55.82</v>
      </c>
      <c r="E13" s="11">
        <f>E12+((D13-D12)*(H4/(D13^1/2)))</f>
        <v>1.8462421736188048E-2</v>
      </c>
      <c r="F13" s="5">
        <f t="shared" si="2"/>
        <v>4.4271202687056754E-2</v>
      </c>
      <c r="G13" s="5">
        <f t="shared" si="0"/>
        <v>1.0305723813140168</v>
      </c>
      <c r="H13" s="6">
        <f t="shared" si="3"/>
        <v>1.4757067562352252E-2</v>
      </c>
    </row>
    <row r="14" spans="2:10" x14ac:dyDescent="0.25">
      <c r="B14" s="8">
        <v>41929</v>
      </c>
      <c r="C14" s="9">
        <f t="shared" si="1"/>
        <v>7</v>
      </c>
      <c r="D14" s="4">
        <v>59.2</v>
      </c>
      <c r="E14" s="11">
        <f>E13+((D14-D13)*(H4/(D14^1/2)))</f>
        <v>1.8808414979431292E-2</v>
      </c>
      <c r="F14" s="5">
        <f t="shared" si="2"/>
        <v>8.2885785468315598E-2</v>
      </c>
      <c r="G14" s="5">
        <f t="shared" si="0"/>
        <v>1.1134581667823324</v>
      </c>
      <c r="H14" s="6">
        <f t="shared" si="3"/>
        <v>1.1840826495473657E-2</v>
      </c>
    </row>
    <row r="15" spans="2:10" x14ac:dyDescent="0.25">
      <c r="B15" s="8">
        <v>41931</v>
      </c>
      <c r="C15" s="9">
        <f t="shared" si="1"/>
        <v>2</v>
      </c>
      <c r="D15" s="4">
        <v>60.7</v>
      </c>
      <c r="E15" s="11">
        <f>E14+((D15-D14)*(H4/(D15^1/2)))</f>
        <v>1.8958167862462592E-2</v>
      </c>
      <c r="F15" s="5">
        <f t="shared" si="2"/>
        <v>3.7302622469147062E-2</v>
      </c>
      <c r="G15" s="5">
        <f t="shared" si="0"/>
        <v>1.1507607892514795</v>
      </c>
      <c r="H15" s="6">
        <f t="shared" si="3"/>
        <v>1.8651311234573531E-2</v>
      </c>
    </row>
    <row r="16" spans="2:10" x14ac:dyDescent="0.25">
      <c r="B16" s="8">
        <v>41935</v>
      </c>
      <c r="C16" s="9">
        <f t="shared" si="1"/>
        <v>4</v>
      </c>
      <c r="D16" s="4">
        <v>63</v>
      </c>
      <c r="E16" s="11">
        <f>E15+((D16-D15)*(H4/(D16^1/2)))</f>
        <v>1.9179405957700686E-2</v>
      </c>
      <c r="F16" s="5">
        <f t="shared" si="2"/>
        <v>5.7541786083663782E-2</v>
      </c>
      <c r="G16" s="5">
        <f t="shared" si="0"/>
        <v>1.2083025753351433</v>
      </c>
      <c r="H16" s="6">
        <f t="shared" si="3"/>
        <v>1.4385446520915945E-2</v>
      </c>
    </row>
    <row r="17" spans="2:18" x14ac:dyDescent="0.25">
      <c r="B17" s="8">
        <v>41936</v>
      </c>
      <c r="C17" s="9">
        <f t="shared" si="1"/>
        <v>1</v>
      </c>
      <c r="D17" s="4">
        <v>63.8</v>
      </c>
      <c r="E17" s="11">
        <f>E16+((D17-D16)*(H4/(D17^1/2)))</f>
        <v>1.9255393418515732E-2</v>
      </c>
      <c r="F17" s="5">
        <f t="shared" si="2"/>
        <v>2.0191524766160374E-2</v>
      </c>
      <c r="G17" s="5">
        <f t="shared" si="0"/>
        <v>1.2284941001013037</v>
      </c>
      <c r="H17" s="6">
        <f t="shared" si="3"/>
        <v>2.0191524766160374E-2</v>
      </c>
    </row>
    <row r="18" spans="2:18" x14ac:dyDescent="0.25">
      <c r="B18" s="8">
        <v>41939</v>
      </c>
      <c r="C18" s="9">
        <f t="shared" si="1"/>
        <v>3</v>
      </c>
      <c r="D18" s="4">
        <f>63.8+0.8</f>
        <v>64.599999999999994</v>
      </c>
      <c r="E18" s="11">
        <f>E17+((D18-D17)*(H4/(D18^1/2)))</f>
        <v>1.9330439858144213E-2</v>
      </c>
      <c r="F18" s="5">
        <f t="shared" si="2"/>
        <v>2.0252314734812371E-2</v>
      </c>
      <c r="G18" s="5">
        <f t="shared" si="0"/>
        <v>1.248746414836116</v>
      </c>
      <c r="H18" s="6">
        <f t="shared" si="3"/>
        <v>6.7507715782707907E-3</v>
      </c>
    </row>
    <row r="19" spans="2:18" x14ac:dyDescent="0.25">
      <c r="B19" s="8">
        <v>41940</v>
      </c>
      <c r="C19" s="9">
        <f t="shared" si="1"/>
        <v>1</v>
      </c>
      <c r="D19" s="4">
        <v>65</v>
      </c>
      <c r="E19" s="11">
        <f>E18+((D19-D18)*(H4/(D19^1/2)))</f>
        <v>1.936773216583652E-2</v>
      </c>
      <c r="F19" s="5">
        <f t="shared" si="2"/>
        <v>1.0156175943257795E-2</v>
      </c>
      <c r="G19" s="5">
        <f t="shared" si="0"/>
        <v>1.2589025907793738</v>
      </c>
      <c r="H19" s="6">
        <f t="shared" si="3"/>
        <v>1.0156175943257795E-2</v>
      </c>
    </row>
    <row r="20" spans="2:18" x14ac:dyDescent="0.25">
      <c r="B20" s="8">
        <v>41956</v>
      </c>
      <c r="C20" s="9">
        <f t="shared" si="1"/>
        <v>16</v>
      </c>
      <c r="D20" s="4">
        <v>71.900000000000006</v>
      </c>
      <c r="E20" s="11">
        <f>E19+((D20-D19)*(H4/(D20^1/2)))</f>
        <v>1.9949289884890763E-2</v>
      </c>
      <c r="F20" s="5">
        <f t="shared" si="2"/>
        <v>0.17545135194427219</v>
      </c>
      <c r="G20" s="5">
        <f t="shared" si="0"/>
        <v>1.434353942723646</v>
      </c>
      <c r="H20" s="6">
        <f t="shared" si="3"/>
        <v>1.0965709496517012E-2</v>
      </c>
    </row>
    <row r="21" spans="2:18" ht="15.75" thickBot="1" x14ac:dyDescent="0.3">
      <c r="B21" s="8">
        <v>41968</v>
      </c>
      <c r="C21" s="9">
        <f t="shared" si="1"/>
        <v>12</v>
      </c>
      <c r="D21" s="4">
        <v>74.099999999999994</v>
      </c>
      <c r="E21" s="11">
        <f>E20+((D21-D20)*(H4/(D21^1/2)))</f>
        <v>2.0129208913230844E-2</v>
      </c>
      <c r="F21" s="5">
        <f t="shared" si="2"/>
        <v>5.7220437746759334E-2</v>
      </c>
      <c r="G21" s="5">
        <f t="shared" si="0"/>
        <v>1.4915743804704054</v>
      </c>
      <c r="H21" s="6">
        <f t="shared" si="3"/>
        <v>4.7683698122299445E-3</v>
      </c>
    </row>
    <row r="22" spans="2:18" ht="15.75" thickBot="1" x14ac:dyDescent="0.3">
      <c r="B22" s="8">
        <v>41975</v>
      </c>
      <c r="C22" s="9">
        <f t="shared" si="1"/>
        <v>7</v>
      </c>
      <c r="D22" s="4">
        <v>76.31</v>
      </c>
      <c r="E22" s="11">
        <f>E21+((D22-D21)*(H4/(D22^1/2)))</f>
        <v>2.0304711468597116E-2</v>
      </c>
      <c r="F22" s="5">
        <f t="shared" si="2"/>
        <v>5.787815169824051E-2</v>
      </c>
      <c r="G22" s="5">
        <f t="shared" si="0"/>
        <v>1.5494525321686459</v>
      </c>
      <c r="H22" s="6">
        <f t="shared" si="3"/>
        <v>8.2683073854629297E-3</v>
      </c>
      <c r="P22" s="40"/>
      <c r="Q22" s="43" t="s">
        <v>20</v>
      </c>
      <c r="R22" s="44" t="s">
        <v>21</v>
      </c>
    </row>
    <row r="23" spans="2:18" ht="15.75" thickBot="1" x14ac:dyDescent="0.3">
      <c r="B23" s="30">
        <v>43951</v>
      </c>
      <c r="C23" s="10">
        <f t="shared" si="1"/>
        <v>1976</v>
      </c>
      <c r="D23" s="14">
        <f>D22+(((D22-D21)/C22)*C23)</f>
        <v>700.16142857143086</v>
      </c>
      <c r="E23" s="39">
        <f>E22+((D23-D22)*(H4/(D23^1/2)))</f>
        <v>2.5704237210619877E-2</v>
      </c>
      <c r="F23" s="12">
        <f t="shared" si="2"/>
        <v>16.447662913557895</v>
      </c>
      <c r="G23" s="12">
        <f t="shared" si="0"/>
        <v>17.997115445726543</v>
      </c>
      <c r="H23" s="13">
        <f t="shared" si="3"/>
        <v>8.3237160493714046E-3</v>
      </c>
      <c r="K23" s="37" t="s">
        <v>26</v>
      </c>
      <c r="L23" s="37"/>
      <c r="M23" s="37"/>
      <c r="N23" s="48">
        <f>(G23*1000*1000*1000/(3600*24))/C24</f>
        <v>100.5794047747473</v>
      </c>
      <c r="P23" s="41" t="s">
        <v>23</v>
      </c>
      <c r="Q23" s="4">
        <v>13</v>
      </c>
      <c r="R23" s="45">
        <v>18</v>
      </c>
    </row>
    <row r="24" spans="2:18" ht="15.75" thickBot="1" x14ac:dyDescent="0.3">
      <c r="B24" s="16"/>
      <c r="C24" s="17">
        <f>B23-B7</f>
        <v>2071</v>
      </c>
      <c r="D24" s="18">
        <f>C24/365</f>
        <v>5.6739726027397257</v>
      </c>
      <c r="F24" s="32" t="s">
        <v>3</v>
      </c>
      <c r="G24" s="19"/>
      <c r="H24" s="38">
        <f>H23*1000*1000*1000/(3600*24)</f>
        <v>96.339306126983843</v>
      </c>
      <c r="K24" s="37"/>
      <c r="L24" s="37"/>
      <c r="M24" s="37"/>
      <c r="N24" s="48"/>
      <c r="P24" s="41" t="s">
        <v>22</v>
      </c>
      <c r="Q24" s="4">
        <v>580</v>
      </c>
      <c r="R24" s="45">
        <v>700</v>
      </c>
    </row>
    <row r="25" spans="2:18" x14ac:dyDescent="0.25">
      <c r="B25" s="65"/>
      <c r="C25" s="65"/>
      <c r="D25" s="65"/>
      <c r="E25" s="65"/>
      <c r="F25" s="65"/>
      <c r="G25" s="65"/>
      <c r="H25" s="65"/>
      <c r="K25" s="37"/>
      <c r="L25" s="37"/>
      <c r="M25" s="37"/>
      <c r="N25" s="37"/>
      <c r="P25" s="41" t="s">
        <v>24</v>
      </c>
      <c r="Q25" s="4">
        <f>Q23/Q24</f>
        <v>2.2413793103448276E-2</v>
      </c>
      <c r="R25" s="45">
        <f>R23/R24</f>
        <v>2.5714285714285714E-2</v>
      </c>
    </row>
    <row r="26" spans="2:18" ht="15.75" thickBot="1" x14ac:dyDescent="0.3">
      <c r="B26" s="65"/>
      <c r="C26" s="65"/>
      <c r="D26" s="65"/>
      <c r="E26" s="65"/>
      <c r="F26" s="65"/>
      <c r="G26" s="65"/>
      <c r="H26" s="65"/>
      <c r="K26" s="37"/>
      <c r="L26" s="37"/>
      <c r="M26" s="37"/>
      <c r="N26" s="49"/>
      <c r="P26" s="42" t="s">
        <v>25</v>
      </c>
      <c r="Q26" s="46">
        <f>Laki!H4</f>
        <v>2.0999999999999999E-3</v>
      </c>
      <c r="R26" s="47">
        <f>H4</f>
        <v>3.0300000000000001E-3</v>
      </c>
    </row>
    <row r="30" spans="2:18" x14ac:dyDescent="0.25">
      <c r="N30" s="31"/>
    </row>
  </sheetData>
  <mergeCells count="2">
    <mergeCell ref="B25:H26"/>
    <mergeCell ref="B4:D4"/>
  </mergeCells>
  <phoneticPr fontId="1" type="noConversion"/>
  <pageMargins left="0.7" right="0.7" top="0.75" bottom="0.75" header="0.3" footer="0.3"/>
  <pageSetup paperSize="9" orientation="portrait" horizontalDpi="4294967293" verticalDpi="7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0"/>
  <sheetViews>
    <sheetView workbookViewId="0">
      <selection activeCell="B9" sqref="B9"/>
    </sheetView>
  </sheetViews>
  <sheetFormatPr defaultRowHeight="15" x14ac:dyDescent="0.25"/>
  <cols>
    <col min="2" max="2" width="34" customWidth="1"/>
  </cols>
  <sheetData>
    <row r="2" spans="2:5" ht="60" customHeight="1" x14ac:dyDescent="0.25">
      <c r="B2" s="65" t="s">
        <v>54</v>
      </c>
      <c r="C2" s="65"/>
      <c r="D2" s="65"/>
      <c r="E2" s="65"/>
    </row>
    <row r="3" spans="2:5" ht="30" x14ac:dyDescent="0.25">
      <c r="B3" t="s">
        <v>44</v>
      </c>
      <c r="C3" s="55" t="s">
        <v>42</v>
      </c>
      <c r="D3" s="55" t="s">
        <v>43</v>
      </c>
    </row>
    <row r="4" spans="2:5" x14ac:dyDescent="0.25">
      <c r="B4" t="s">
        <v>48</v>
      </c>
      <c r="C4">
        <v>0.5</v>
      </c>
      <c r="D4">
        <v>7</v>
      </c>
      <c r="E4">
        <f>D4*C4</f>
        <v>3.5</v>
      </c>
    </row>
    <row r="5" spans="2:5" x14ac:dyDescent="0.25">
      <c r="B5" t="s">
        <v>46</v>
      </c>
      <c r="C5">
        <v>1</v>
      </c>
      <c r="D5">
        <v>2</v>
      </c>
      <c r="E5">
        <f t="shared" ref="E5:E9" si="0">D5*C5</f>
        <v>2</v>
      </c>
    </row>
    <row r="6" spans="2:5" x14ac:dyDescent="0.25">
      <c r="B6" t="s">
        <v>40</v>
      </c>
      <c r="C6">
        <v>0.75</v>
      </c>
      <c r="D6">
        <v>1</v>
      </c>
      <c r="E6">
        <f t="shared" si="0"/>
        <v>0.75</v>
      </c>
    </row>
    <row r="7" spans="2:5" x14ac:dyDescent="0.25">
      <c r="B7" t="s">
        <v>41</v>
      </c>
      <c r="C7">
        <v>1.05</v>
      </c>
      <c r="D7">
        <v>1</v>
      </c>
      <c r="E7">
        <f t="shared" si="0"/>
        <v>1.05</v>
      </c>
    </row>
    <row r="8" spans="2:5" x14ac:dyDescent="0.25">
      <c r="B8" t="s">
        <v>47</v>
      </c>
      <c r="C8">
        <v>1.5</v>
      </c>
      <c r="D8">
        <v>1</v>
      </c>
      <c r="E8">
        <f t="shared" ref="E8" si="1">D8*C8</f>
        <v>1.5</v>
      </c>
    </row>
    <row r="9" spans="2:5" x14ac:dyDescent="0.25">
      <c r="B9" t="s">
        <v>55</v>
      </c>
      <c r="C9">
        <v>0.49</v>
      </c>
      <c r="D9">
        <v>7</v>
      </c>
      <c r="E9">
        <f t="shared" si="0"/>
        <v>3.4299999999999997</v>
      </c>
    </row>
    <row r="10" spans="2:5" x14ac:dyDescent="0.25">
      <c r="B10" t="s">
        <v>45</v>
      </c>
      <c r="C10" s="63">
        <f>E10/D10</f>
        <v>0.64368421052631586</v>
      </c>
      <c r="D10">
        <f>SUM(D4:D9)</f>
        <v>19</v>
      </c>
      <c r="E10">
        <f>SUM(E4:E9)</f>
        <v>12.23</v>
      </c>
    </row>
  </sheetData>
  <mergeCells count="1">
    <mergeCell ref="B2:E2"/>
  </mergeCell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Holuhraun</vt:lpstr>
      <vt:lpstr>Laki</vt:lpstr>
      <vt:lpstr>Eldgja</vt:lpstr>
      <vt:lpstr>Rift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KingstonSSD</dc:creator>
  <cp:lastModifiedBy>KingstonSSD</cp:lastModifiedBy>
  <dcterms:created xsi:type="dcterms:W3CDTF">2014-10-13T09:44:30Z</dcterms:created>
  <dcterms:modified xsi:type="dcterms:W3CDTF">2015-02-20T10:50:57Z</dcterms:modified>
</cp:coreProperties>
</file>